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appriver3651007160-my.sharepoint.com/personal/robert_thr_es/Documents/Escritorio/Entrega Final PMTI Chile/Producto Nº4 Definición de metas y KPIs de gestión/"/>
    </mc:Choice>
  </mc:AlternateContent>
  <xr:revisionPtr revIDLastSave="13" documentId="13_ncr:1_{DEB79A9F-FED7-4389-B5D5-405F817F75F1}" xr6:coauthVersionLast="47" xr6:coauthVersionMax="47" xr10:uidLastSave="{1C7426E3-EED7-4C9F-A8DE-9010FE952542}"/>
  <bookViews>
    <workbookView xWindow="-120" yWindow="-120" windowWidth="29040" windowHeight="15720" xr2:uid="{00000000-000D-0000-FFFF-FFFF00000000}"/>
  </bookViews>
  <sheets>
    <sheet name="Portada" sheetId="6" r:id="rId1"/>
    <sheet name="Metodología" sheetId="7" r:id="rId2"/>
    <sheet name="Informe de efectividad " sheetId="2" r:id="rId3"/>
    <sheet name="Anexo KPIs recomendados" sheetId="3" r:id="rId4"/>
    <sheet name="Proyecciones" sheetId="5" r:id="rId5"/>
    <sheet name="Inputs &amp; assumptions" sheetId="4" r:id="rId6"/>
    <sheet name="Proyección presup. desglosado" sheetId="8" r:id="rId7"/>
    <sheet name="Tabla dinámica presupuestos" sheetId="9" r:id="rId8"/>
  </sheets>
  <definedNames>
    <definedName name="_xlnm._FilterDatabase" localSheetId="6" hidden="1">'Proyección presup. desglosado'!$C$5:$J$125</definedName>
  </definedNames>
  <calcPr calcId="191028"/>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9" l="1"/>
  <c r="E144" i="8"/>
  <c r="F145" i="8"/>
  <c r="E142" i="8"/>
  <c r="H127" i="8"/>
  <c r="I6" i="8"/>
  <c r="F74" i="5"/>
  <c r="D67" i="5"/>
  <c r="H70" i="5"/>
  <c r="I70" i="5"/>
  <c r="G70" i="5"/>
  <c r="G71" i="5"/>
  <c r="H71" i="5"/>
  <c r="I71" i="5"/>
  <c r="I68" i="5"/>
  <c r="H68" i="5"/>
  <c r="D68" i="5"/>
  <c r="G67" i="5"/>
  <c r="H67" i="5"/>
  <c r="I67" i="5"/>
  <c r="F67" i="5"/>
  <c r="F65" i="5"/>
  <c r="G65" i="5"/>
  <c r="H65" i="5"/>
  <c r="I65" i="5"/>
  <c r="E65" i="5"/>
  <c r="D65" i="5"/>
  <c r="E63" i="5"/>
  <c r="F63" i="5"/>
  <c r="G63" i="5"/>
  <c r="H63" i="5"/>
  <c r="I63" i="5"/>
  <c r="D63" i="5"/>
  <c r="D72" i="5" s="1"/>
  <c r="D73" i="5" s="1"/>
  <c r="J63" i="5" l="1"/>
  <c r="O32" i="9" l="1"/>
  <c r="I96" i="8"/>
  <c r="J96" i="8" s="1"/>
  <c r="I13" i="8"/>
  <c r="J13" i="8" s="1"/>
  <c r="I15" i="8"/>
  <c r="D74" i="5"/>
  <c r="C25" i="9"/>
  <c r="G25" i="9" s="1"/>
  <c r="C26" i="9"/>
  <c r="G26" i="9" s="1"/>
  <c r="C27" i="9"/>
  <c r="F27" i="9" s="1"/>
  <c r="C28" i="9"/>
  <c r="D28" i="9" s="1"/>
  <c r="C29" i="9"/>
  <c r="I29" i="9" s="1"/>
  <c r="C30" i="9"/>
  <c r="F30" i="9" s="1"/>
  <c r="C31" i="9"/>
  <c r="F31" i="9" s="1"/>
  <c r="C32" i="9"/>
  <c r="D32" i="9" s="1"/>
  <c r="C33" i="9"/>
  <c r="G33" i="9" s="1"/>
  <c r="C34" i="9"/>
  <c r="D34" i="9" s="1"/>
  <c r="C24" i="9"/>
  <c r="F24" i="9" s="1"/>
  <c r="F41" i="5" s="1"/>
  <c r="K33" i="2" s="1"/>
  <c r="G31" i="9"/>
  <c r="G32" i="9"/>
  <c r="E26" i="9"/>
  <c r="E28" i="9"/>
  <c r="E29" i="9"/>
  <c r="E31" i="9"/>
  <c r="E32" i="9"/>
  <c r="D29" i="9"/>
  <c r="D31" i="9"/>
  <c r="F142" i="8"/>
  <c r="I85" i="8"/>
  <c r="J85" i="8" s="1"/>
  <c r="H128" i="8"/>
  <c r="I91" i="8"/>
  <c r="J91" i="8" s="1"/>
  <c r="I8" i="8"/>
  <c r="J8" i="8" s="1"/>
  <c r="I125" i="8"/>
  <c r="J125" i="8" s="1"/>
  <c r="I124" i="8"/>
  <c r="J124" i="8" s="1"/>
  <c r="I123" i="8"/>
  <c r="J123" i="8" s="1"/>
  <c r="I122" i="8"/>
  <c r="J122" i="8" s="1"/>
  <c r="I121" i="8"/>
  <c r="J121" i="8" s="1"/>
  <c r="I120" i="8"/>
  <c r="J120" i="8" s="1"/>
  <c r="I119" i="8"/>
  <c r="J119" i="8" s="1"/>
  <c r="I118" i="8"/>
  <c r="J118" i="8" s="1"/>
  <c r="I117" i="8"/>
  <c r="I116" i="8"/>
  <c r="J116" i="8" s="1"/>
  <c r="I115" i="8"/>
  <c r="J115" i="8" s="1"/>
  <c r="H114" i="8"/>
  <c r="I113" i="8"/>
  <c r="J113" i="8" s="1"/>
  <c r="I112" i="8"/>
  <c r="J112" i="8" s="1"/>
  <c r="I111" i="8"/>
  <c r="J111" i="8" s="1"/>
  <c r="I110" i="8"/>
  <c r="J110" i="8" s="1"/>
  <c r="I109" i="8"/>
  <c r="J109" i="8" s="1"/>
  <c r="I108" i="8"/>
  <c r="J108" i="8" s="1"/>
  <c r="I107" i="8"/>
  <c r="J107" i="8" s="1"/>
  <c r="I106" i="8"/>
  <c r="J106" i="8" s="1"/>
  <c r="I105" i="8"/>
  <c r="J105" i="8" s="1"/>
  <c r="I104" i="8"/>
  <c r="J104" i="8" s="1"/>
  <c r="I103" i="8"/>
  <c r="J103" i="8" s="1"/>
  <c r="I102" i="8"/>
  <c r="J102" i="8" s="1"/>
  <c r="I101" i="8"/>
  <c r="J101" i="8" s="1"/>
  <c r="I100" i="8"/>
  <c r="J100" i="8" s="1"/>
  <c r="I99" i="8"/>
  <c r="J99" i="8" s="1"/>
  <c r="I98" i="8"/>
  <c r="J98" i="8" s="1"/>
  <c r="I97" i="8"/>
  <c r="J97" i="8" s="1"/>
  <c r="I95" i="8"/>
  <c r="J95" i="8" s="1"/>
  <c r="I94" i="8"/>
  <c r="J94" i="8" s="1"/>
  <c r="I93" i="8"/>
  <c r="J93" i="8" s="1"/>
  <c r="I92" i="8"/>
  <c r="J92" i="8" s="1"/>
  <c r="I90" i="8"/>
  <c r="J90" i="8" s="1"/>
  <c r="I89" i="8"/>
  <c r="J89" i="8" s="1"/>
  <c r="I88" i="8"/>
  <c r="J88" i="8" s="1"/>
  <c r="I87" i="8"/>
  <c r="J87" i="8" s="1"/>
  <c r="I86" i="8"/>
  <c r="J86" i="8" s="1"/>
  <c r="I84" i="8"/>
  <c r="J84" i="8" s="1"/>
  <c r="I83" i="8"/>
  <c r="J83" i="8" s="1"/>
  <c r="I82" i="8"/>
  <c r="J82" i="8" s="1"/>
  <c r="I81" i="8"/>
  <c r="J81" i="8" s="1"/>
  <c r="I80" i="8"/>
  <c r="J80" i="8" s="1"/>
  <c r="I79" i="8"/>
  <c r="J79" i="8" s="1"/>
  <c r="I78" i="8"/>
  <c r="J78" i="8" s="1"/>
  <c r="I77" i="8"/>
  <c r="J77" i="8" s="1"/>
  <c r="I76" i="8"/>
  <c r="J76" i="8" s="1"/>
  <c r="I75" i="8"/>
  <c r="J75" i="8" s="1"/>
  <c r="I74" i="8"/>
  <c r="J74" i="8" s="1"/>
  <c r="I73" i="8"/>
  <c r="J73" i="8" s="1"/>
  <c r="I72" i="8"/>
  <c r="J72" i="8" s="1"/>
  <c r="I71" i="8"/>
  <c r="J71" i="8" s="1"/>
  <c r="I70" i="8"/>
  <c r="J70" i="8" s="1"/>
  <c r="I69" i="8"/>
  <c r="J69" i="8" s="1"/>
  <c r="I68" i="8"/>
  <c r="J68" i="8" s="1"/>
  <c r="I67" i="8"/>
  <c r="J67" i="8" s="1"/>
  <c r="I66" i="8"/>
  <c r="J66" i="8" s="1"/>
  <c r="I65" i="8"/>
  <c r="J65" i="8" s="1"/>
  <c r="I64" i="8"/>
  <c r="J64" i="8" s="1"/>
  <c r="I63" i="8"/>
  <c r="J63" i="8" s="1"/>
  <c r="I62" i="8"/>
  <c r="J62" i="8" s="1"/>
  <c r="I61" i="8"/>
  <c r="J61" i="8" s="1"/>
  <c r="I60" i="8"/>
  <c r="J60" i="8" s="1"/>
  <c r="I59" i="8"/>
  <c r="J59" i="8" s="1"/>
  <c r="I58" i="8"/>
  <c r="J58" i="8" s="1"/>
  <c r="I57" i="8"/>
  <c r="J57" i="8" s="1"/>
  <c r="I56" i="8"/>
  <c r="J56" i="8" s="1"/>
  <c r="I55" i="8"/>
  <c r="J55" i="8" s="1"/>
  <c r="I54" i="8"/>
  <c r="J54" i="8" s="1"/>
  <c r="I53" i="8"/>
  <c r="J53" i="8" s="1"/>
  <c r="I52" i="8"/>
  <c r="J52" i="8" s="1"/>
  <c r="I51" i="8"/>
  <c r="J51" i="8" s="1"/>
  <c r="I50" i="8"/>
  <c r="J50" i="8" s="1"/>
  <c r="I49" i="8"/>
  <c r="J49" i="8" s="1"/>
  <c r="I48" i="8"/>
  <c r="J48" i="8" s="1"/>
  <c r="I47" i="8"/>
  <c r="J47" i="8" s="1"/>
  <c r="I46" i="8"/>
  <c r="J46" i="8" s="1"/>
  <c r="I45" i="8"/>
  <c r="J45" i="8" s="1"/>
  <c r="I44" i="8"/>
  <c r="J44" i="8" s="1"/>
  <c r="I43" i="8"/>
  <c r="J43" i="8" s="1"/>
  <c r="I42" i="8"/>
  <c r="J42" i="8" s="1"/>
  <c r="I41" i="8"/>
  <c r="J41" i="8" s="1"/>
  <c r="I40" i="8"/>
  <c r="J40" i="8" s="1"/>
  <c r="I39" i="8"/>
  <c r="J39" i="8" s="1"/>
  <c r="I38" i="8"/>
  <c r="J38" i="8" s="1"/>
  <c r="I37" i="8"/>
  <c r="J37" i="8" s="1"/>
  <c r="I36" i="8"/>
  <c r="J36" i="8" s="1"/>
  <c r="I35" i="8"/>
  <c r="J35" i="8" s="1"/>
  <c r="I34" i="8"/>
  <c r="J34" i="8" s="1"/>
  <c r="I33" i="8"/>
  <c r="J33" i="8" s="1"/>
  <c r="I32" i="8"/>
  <c r="J32" i="8" s="1"/>
  <c r="I31" i="8"/>
  <c r="J31" i="8" s="1"/>
  <c r="I30" i="8"/>
  <c r="J30" i="8" s="1"/>
  <c r="I29" i="8"/>
  <c r="J29" i="8" s="1"/>
  <c r="I28" i="8"/>
  <c r="J28" i="8" s="1"/>
  <c r="I27" i="8"/>
  <c r="J27" i="8" s="1"/>
  <c r="I26" i="8"/>
  <c r="J26" i="8" s="1"/>
  <c r="I25" i="8"/>
  <c r="J25" i="8" s="1"/>
  <c r="I24" i="8"/>
  <c r="J24" i="8" s="1"/>
  <c r="I23" i="8"/>
  <c r="J23" i="8" s="1"/>
  <c r="I22" i="8"/>
  <c r="J22" i="8" s="1"/>
  <c r="I20" i="8"/>
  <c r="J20" i="8" s="1"/>
  <c r="I19" i="8"/>
  <c r="J19" i="8" s="1"/>
  <c r="I18" i="8"/>
  <c r="J18" i="8" s="1"/>
  <c r="I17" i="8"/>
  <c r="J17" i="8" s="1"/>
  <c r="I16" i="8"/>
  <c r="J16" i="8" s="1"/>
  <c r="J15" i="8"/>
  <c r="I14" i="8"/>
  <c r="J14" i="8" s="1"/>
  <c r="I12" i="8"/>
  <c r="J12" i="8" s="1"/>
  <c r="I11" i="8"/>
  <c r="J11" i="8" s="1"/>
  <c r="I10" i="8"/>
  <c r="J10" i="8" s="1"/>
  <c r="I9" i="8"/>
  <c r="J9" i="8" s="1"/>
  <c r="I7" i="8"/>
  <c r="J7" i="8" s="1"/>
  <c r="J6" i="8"/>
  <c r="G43" i="5" l="1"/>
  <c r="N45" i="2" s="1"/>
  <c r="G42" i="5"/>
  <c r="N41" i="2" s="1"/>
  <c r="E27" i="9"/>
  <c r="E44" i="5" s="1"/>
  <c r="H17" i="2" s="1"/>
  <c r="D24" i="9"/>
  <c r="D41" i="5" s="1"/>
  <c r="E24" i="9"/>
  <c r="E41" i="5" s="1"/>
  <c r="H33" i="2" s="1"/>
  <c r="G24" i="9"/>
  <c r="G41" i="5" s="1"/>
  <c r="N33" i="2" s="1"/>
  <c r="E33" i="9"/>
  <c r="D30" i="9"/>
  <c r="E30" i="9"/>
  <c r="G30" i="9"/>
  <c r="I24" i="9"/>
  <c r="I34" i="9"/>
  <c r="D33" i="9"/>
  <c r="D45" i="5"/>
  <c r="E49" i="2" s="1"/>
  <c r="I32" i="9"/>
  <c r="I27" i="9"/>
  <c r="I26" i="9"/>
  <c r="I33" i="9"/>
  <c r="I25" i="9"/>
  <c r="F34" i="9"/>
  <c r="I31" i="9"/>
  <c r="D25" i="9"/>
  <c r="D42" i="5" s="1"/>
  <c r="E41" i="2" s="1"/>
  <c r="D49" i="5"/>
  <c r="E25" i="2" s="1"/>
  <c r="G29" i="9"/>
  <c r="N29" i="9" s="1"/>
  <c r="I30" i="9"/>
  <c r="E25" i="9"/>
  <c r="E42" i="5" s="1"/>
  <c r="H41" i="2" s="1"/>
  <c r="D46" i="5"/>
  <c r="E37" i="2" s="1"/>
  <c r="F29" i="9"/>
  <c r="F46" i="5" s="1"/>
  <c r="K37" i="2" s="1"/>
  <c r="G28" i="9"/>
  <c r="G45" i="5" s="1"/>
  <c r="N49" i="2" s="1"/>
  <c r="E34" i="9"/>
  <c r="E49" i="5" s="1"/>
  <c r="H25" i="2" s="1"/>
  <c r="F28" i="9"/>
  <c r="F45" i="5" s="1"/>
  <c r="K49" i="2" s="1"/>
  <c r="F47" i="5"/>
  <c r="K21" i="2" s="1"/>
  <c r="D26" i="9"/>
  <c r="O26" i="9" s="1"/>
  <c r="I28" i="9"/>
  <c r="F26" i="9"/>
  <c r="E48" i="5"/>
  <c r="H29" i="2" s="1"/>
  <c r="F33" i="9"/>
  <c r="F25" i="9"/>
  <c r="E47" i="5"/>
  <c r="H21" i="2" s="1"/>
  <c r="F32" i="9"/>
  <c r="G27" i="9"/>
  <c r="D48" i="5"/>
  <c r="E29" i="2" s="1"/>
  <c r="E46" i="5"/>
  <c r="H37" i="2" s="1"/>
  <c r="F48" i="5"/>
  <c r="K29" i="2" s="1"/>
  <c r="G34" i="9"/>
  <c r="D47" i="5"/>
  <c r="E21" i="2" s="1"/>
  <c r="E45" i="5"/>
  <c r="H49" i="2" s="1"/>
  <c r="D27" i="9"/>
  <c r="E43" i="5"/>
  <c r="H45" i="2" s="1"/>
  <c r="G48" i="5"/>
  <c r="D43" i="5"/>
  <c r="F44" i="5"/>
  <c r="K17" i="2" s="1"/>
  <c r="G47" i="5"/>
  <c r="N32" i="9"/>
  <c r="N33" i="9"/>
  <c r="N30" i="9"/>
  <c r="N31" i="9"/>
  <c r="O31" i="9"/>
  <c r="O30" i="9"/>
  <c r="O29" i="9"/>
  <c r="N26" i="9"/>
  <c r="O28" i="9"/>
  <c r="O24" i="9"/>
  <c r="H129" i="8"/>
  <c r="E143" i="8" s="1"/>
  <c r="I114" i="8"/>
  <c r="J114" i="8" s="1"/>
  <c r="J127" i="8" s="1"/>
  <c r="I128" i="8"/>
  <c r="J128" i="8"/>
  <c r="H43" i="5" l="1"/>
  <c r="I43" i="5" s="1"/>
  <c r="J43" i="5" s="1"/>
  <c r="H41" i="5"/>
  <c r="Q33" i="2" s="1"/>
  <c r="E33" i="2"/>
  <c r="N28" i="9"/>
  <c r="H45" i="5" s="1"/>
  <c r="D35" i="9"/>
  <c r="N34" i="9"/>
  <c r="G44" i="5"/>
  <c r="N17" i="2" s="1"/>
  <c r="N25" i="9"/>
  <c r="F35" i="9"/>
  <c r="K32" i="9" s="1"/>
  <c r="F49" i="5"/>
  <c r="K25" i="2" s="1"/>
  <c r="F43" i="5"/>
  <c r="K45" i="2" s="1"/>
  <c r="G46" i="5"/>
  <c r="G49" i="5"/>
  <c r="N25" i="2" s="1"/>
  <c r="L34" i="9"/>
  <c r="F42" i="5"/>
  <c r="K41" i="2" s="1"/>
  <c r="E35" i="9"/>
  <c r="J27" i="9" s="1"/>
  <c r="G35" i="9"/>
  <c r="N27" i="9"/>
  <c r="O25" i="9"/>
  <c r="H42" i="5" s="1"/>
  <c r="E45" i="2"/>
  <c r="H48" i="5"/>
  <c r="N29" i="2"/>
  <c r="H47" i="5"/>
  <c r="N21" i="2"/>
  <c r="D44" i="5"/>
  <c r="O27" i="9"/>
  <c r="O34" i="9"/>
  <c r="E50" i="5"/>
  <c r="J129" i="8"/>
  <c r="I127" i="8"/>
  <c r="I129" i="8" s="1"/>
  <c r="Q45" i="2" l="1"/>
  <c r="I41" i="5"/>
  <c r="J41" i="5" s="1"/>
  <c r="G50" i="5"/>
  <c r="F50" i="5"/>
  <c r="J28" i="9"/>
  <c r="O35" i="9"/>
  <c r="N35" i="9"/>
  <c r="J34" i="9"/>
  <c r="J33" i="9"/>
  <c r="J26" i="9"/>
  <c r="H44" i="5"/>
  <c r="J30" i="9"/>
  <c r="J32" i="9"/>
  <c r="K28" i="9"/>
  <c r="J31" i="9"/>
  <c r="J25" i="9"/>
  <c r="J29" i="9"/>
  <c r="J24" i="9"/>
  <c r="J35" i="9" s="1"/>
  <c r="I42" i="5"/>
  <c r="Q41" i="2"/>
  <c r="K27" i="9"/>
  <c r="K31" i="9"/>
  <c r="K30" i="9"/>
  <c r="K24" i="9"/>
  <c r="L32" i="9"/>
  <c r="L30" i="9"/>
  <c r="L31" i="9"/>
  <c r="L26" i="9"/>
  <c r="L25" i="9"/>
  <c r="L33" i="9"/>
  <c r="L24" i="9"/>
  <c r="L29" i="9"/>
  <c r="H49" i="5"/>
  <c r="I49" i="5" s="1"/>
  <c r="J49" i="5" s="1"/>
  <c r="L28" i="9"/>
  <c r="K26" i="9"/>
  <c r="H46" i="5"/>
  <c r="N37" i="2"/>
  <c r="L27" i="9"/>
  <c r="K33" i="9"/>
  <c r="K29" i="9"/>
  <c r="K25" i="9"/>
  <c r="K34" i="9"/>
  <c r="I48" i="5"/>
  <c r="J48" i="5" s="1"/>
  <c r="Q29" i="2"/>
  <c r="D50" i="5"/>
  <c r="E17" i="2"/>
  <c r="I45" i="5"/>
  <c r="J45" i="5" s="1"/>
  <c r="Q49" i="2"/>
  <c r="I47" i="5"/>
  <c r="J47" i="5" s="1"/>
  <c r="Q21" i="2"/>
  <c r="I44" i="5"/>
  <c r="J44" i="5" s="1"/>
  <c r="F143" i="8"/>
  <c r="F144" i="8" s="1"/>
  <c r="E145" i="8"/>
  <c r="Q25" i="2" l="1"/>
  <c r="H50" i="5"/>
  <c r="Q17" i="2"/>
  <c r="L35" i="9"/>
  <c r="K35" i="9"/>
  <c r="I46" i="5"/>
  <c r="J46" i="5" s="1"/>
  <c r="Q37" i="2"/>
  <c r="J42" i="5"/>
  <c r="I64" i="5"/>
  <c r="I155" i="4"/>
  <c r="E74" i="5" s="1"/>
  <c r="G74" i="5" s="1"/>
  <c r="H74" i="5" s="1"/>
  <c r="I74" i="5" s="1"/>
  <c r="J74" i="5" s="1"/>
  <c r="I11" i="5"/>
  <c r="E107" i="4"/>
  <c r="F107" i="4"/>
  <c r="G107" i="4"/>
  <c r="H107" i="4"/>
  <c r="I107" i="4"/>
  <c r="J85" i="4"/>
  <c r="D107" i="4"/>
  <c r="J86" i="4"/>
  <c r="J87" i="4"/>
  <c r="J88" i="4"/>
  <c r="J89" i="4"/>
  <c r="J90" i="4"/>
  <c r="J91" i="4"/>
  <c r="J92" i="4"/>
  <c r="J93" i="4"/>
  <c r="J94" i="4"/>
  <c r="J95" i="4"/>
  <c r="J96" i="4"/>
  <c r="J97" i="4"/>
  <c r="J98" i="4"/>
  <c r="J99" i="4"/>
  <c r="J100" i="4"/>
  <c r="J101" i="4"/>
  <c r="J102" i="4"/>
  <c r="J103" i="4"/>
  <c r="J104" i="4"/>
  <c r="J105" i="4"/>
  <c r="J106" i="4"/>
  <c r="I50" i="5" l="1"/>
  <c r="J50" i="5" s="1"/>
  <c r="J107" i="4"/>
  <c r="D114" i="4"/>
  <c r="D142" i="4" s="1"/>
  <c r="E114" i="4"/>
  <c r="E142" i="4" s="1"/>
  <c r="F114" i="4"/>
  <c r="F142" i="4" s="1"/>
  <c r="G114" i="4"/>
  <c r="H114" i="4"/>
  <c r="I114" i="4"/>
  <c r="J114" i="4"/>
  <c r="D115" i="4"/>
  <c r="D143" i="4" s="1"/>
  <c r="E115" i="4"/>
  <c r="E143" i="4" s="1"/>
  <c r="F115" i="4"/>
  <c r="F143" i="4" s="1"/>
  <c r="G115" i="4"/>
  <c r="H115" i="4"/>
  <c r="I115" i="4"/>
  <c r="J115" i="4"/>
  <c r="D116" i="4"/>
  <c r="E116" i="4"/>
  <c r="F116" i="4"/>
  <c r="G116" i="4"/>
  <c r="H116" i="4"/>
  <c r="I116" i="4"/>
  <c r="J116" i="4"/>
  <c r="D117" i="4"/>
  <c r="D144" i="4" s="1"/>
  <c r="E117" i="4"/>
  <c r="E144" i="4" s="1"/>
  <c r="F117" i="4"/>
  <c r="F144" i="4" s="1"/>
  <c r="G117" i="4"/>
  <c r="H117" i="4"/>
  <c r="I117" i="4"/>
  <c r="J117" i="4"/>
  <c r="D118" i="4"/>
  <c r="E118" i="4"/>
  <c r="F118" i="4"/>
  <c r="G118" i="4"/>
  <c r="H118" i="4"/>
  <c r="I118" i="4"/>
  <c r="J118" i="4"/>
  <c r="D119" i="4"/>
  <c r="E119" i="4"/>
  <c r="F119" i="4"/>
  <c r="G119" i="4"/>
  <c r="H119" i="4"/>
  <c r="I119" i="4"/>
  <c r="J119" i="4"/>
  <c r="D120" i="4"/>
  <c r="E120" i="4"/>
  <c r="F120" i="4"/>
  <c r="G120" i="4"/>
  <c r="H120" i="4"/>
  <c r="I120" i="4"/>
  <c r="J120" i="4"/>
  <c r="D121" i="4"/>
  <c r="D145" i="4" s="1"/>
  <c r="E121" i="4"/>
  <c r="E145" i="4" s="1"/>
  <c r="F121" i="4"/>
  <c r="F145" i="4" s="1"/>
  <c r="G121" i="4"/>
  <c r="H121" i="4"/>
  <c r="I121" i="4"/>
  <c r="J121" i="4"/>
  <c r="D122" i="4"/>
  <c r="E122" i="4"/>
  <c r="F122" i="4"/>
  <c r="G122" i="4"/>
  <c r="H122" i="4"/>
  <c r="I122" i="4"/>
  <c r="J122" i="4"/>
  <c r="D123" i="4"/>
  <c r="D146" i="4" s="1"/>
  <c r="E123" i="4"/>
  <c r="E146" i="4" s="1"/>
  <c r="F123" i="4"/>
  <c r="F146" i="4" s="1"/>
  <c r="G123" i="4"/>
  <c r="H123" i="4"/>
  <c r="I123" i="4"/>
  <c r="J123" i="4"/>
  <c r="D124" i="4"/>
  <c r="D147" i="4" s="1"/>
  <c r="E124" i="4"/>
  <c r="E147" i="4" s="1"/>
  <c r="F124" i="4"/>
  <c r="F147" i="4" s="1"/>
  <c r="G124" i="4"/>
  <c r="H124" i="4"/>
  <c r="I124" i="4"/>
  <c r="J124" i="4"/>
  <c r="D125" i="4"/>
  <c r="D148" i="4" s="1"/>
  <c r="E125" i="4"/>
  <c r="E148" i="4" s="1"/>
  <c r="F125" i="4"/>
  <c r="F148" i="4" s="1"/>
  <c r="G125" i="4"/>
  <c r="H125" i="4"/>
  <c r="I125" i="4"/>
  <c r="J125" i="4"/>
  <c r="D126" i="4"/>
  <c r="E126" i="4"/>
  <c r="F126" i="4"/>
  <c r="G126" i="4"/>
  <c r="H126" i="4"/>
  <c r="I126" i="4"/>
  <c r="J126" i="4"/>
  <c r="D127" i="4"/>
  <c r="E127" i="4"/>
  <c r="F127" i="4"/>
  <c r="G127" i="4"/>
  <c r="H127" i="4"/>
  <c r="I127" i="4"/>
  <c r="J127" i="4"/>
  <c r="D128" i="4"/>
  <c r="E128" i="4"/>
  <c r="F128" i="4"/>
  <c r="G128" i="4"/>
  <c r="H128" i="4"/>
  <c r="I128" i="4"/>
  <c r="J128" i="4"/>
  <c r="D129" i="4"/>
  <c r="E129" i="4"/>
  <c r="F129" i="4"/>
  <c r="G129" i="4"/>
  <c r="H129" i="4"/>
  <c r="I129" i="4"/>
  <c r="J129" i="4"/>
  <c r="D130" i="4"/>
  <c r="E130" i="4"/>
  <c r="F130" i="4"/>
  <c r="G130" i="4"/>
  <c r="H130" i="4"/>
  <c r="I130" i="4"/>
  <c r="J130" i="4"/>
  <c r="D131" i="4"/>
  <c r="E131" i="4"/>
  <c r="F131" i="4"/>
  <c r="G131" i="4"/>
  <c r="H131" i="4"/>
  <c r="I131" i="4"/>
  <c r="J131" i="4"/>
  <c r="D132" i="4"/>
  <c r="D149" i="4" s="1"/>
  <c r="E132" i="4"/>
  <c r="E149" i="4" s="1"/>
  <c r="F132" i="4"/>
  <c r="F149" i="4" s="1"/>
  <c r="G132" i="4"/>
  <c r="H132" i="4"/>
  <c r="I132" i="4"/>
  <c r="J132" i="4"/>
  <c r="D133" i="4"/>
  <c r="E133" i="4"/>
  <c r="F133" i="4"/>
  <c r="G133" i="4"/>
  <c r="H133" i="4"/>
  <c r="I133" i="4"/>
  <c r="J133" i="4"/>
  <c r="D134" i="4"/>
  <c r="E134" i="4"/>
  <c r="F134" i="4"/>
  <c r="G134" i="4"/>
  <c r="H134" i="4"/>
  <c r="I134" i="4"/>
  <c r="J134" i="4"/>
  <c r="D135" i="4"/>
  <c r="E135" i="4"/>
  <c r="F135" i="4"/>
  <c r="G135" i="4"/>
  <c r="H135" i="4"/>
  <c r="I135" i="4"/>
  <c r="J135" i="4"/>
  <c r="E113" i="4"/>
  <c r="E141" i="4" s="1"/>
  <c r="F113" i="4"/>
  <c r="F141" i="4" s="1"/>
  <c r="G113" i="4"/>
  <c r="H113" i="4"/>
  <c r="I113" i="4"/>
  <c r="J113" i="4"/>
  <c r="D113" i="4"/>
  <c r="D141" i="4" s="1"/>
  <c r="M148" i="4" l="1"/>
  <c r="J148" i="4"/>
  <c r="M141" i="4"/>
  <c r="J141" i="4"/>
  <c r="J142" i="4"/>
  <c r="M142" i="4"/>
  <c r="M144" i="4"/>
  <c r="J144" i="4"/>
  <c r="M145" i="4"/>
  <c r="J145" i="4"/>
  <c r="M146" i="4"/>
  <c r="J146" i="4"/>
  <c r="M143" i="4"/>
  <c r="J143" i="4"/>
  <c r="K143" i="4"/>
  <c r="L143" i="4"/>
  <c r="D29" i="5" s="1"/>
  <c r="J149" i="4"/>
  <c r="M149" i="4"/>
  <c r="D35" i="5" s="1"/>
  <c r="M147" i="4"/>
  <c r="D33" i="5" s="1"/>
  <c r="J147" i="4"/>
  <c r="D69" i="5" l="1"/>
  <c r="E22" i="2" s="1"/>
  <c r="E23" i="2"/>
  <c r="E33" i="5"/>
  <c r="E35" i="5"/>
  <c r="E27" i="2"/>
  <c r="D71" i="5"/>
  <c r="E26" i="2" s="1"/>
  <c r="E47" i="2"/>
  <c r="E46" i="2"/>
  <c r="H27" i="2" l="1"/>
  <c r="F35" i="5"/>
  <c r="E71" i="5"/>
  <c r="H26" i="2" s="1"/>
  <c r="H23" i="2"/>
  <c r="E69" i="5"/>
  <c r="H22" i="2" s="1"/>
  <c r="F33" i="5"/>
  <c r="K23" i="2" l="1"/>
  <c r="G33" i="5"/>
  <c r="F69" i="5"/>
  <c r="K22" i="2" s="1"/>
  <c r="K27" i="2"/>
  <c r="G35" i="5"/>
  <c r="F71" i="5"/>
  <c r="K26" i="2" s="1"/>
  <c r="N27" i="2" l="1"/>
  <c r="H35" i="5"/>
  <c r="N26" i="2"/>
  <c r="N23" i="2"/>
  <c r="H33" i="5"/>
  <c r="G69" i="5"/>
  <c r="N22" i="2" s="1"/>
  <c r="Q23" i="2" l="1"/>
  <c r="H69" i="5"/>
  <c r="Q22" i="2" s="1"/>
  <c r="I33" i="5"/>
  <c r="I69" i="5" s="1"/>
  <c r="J69" i="5" s="1"/>
  <c r="Q27" i="2"/>
  <c r="Q26" i="2"/>
  <c r="I35" i="5"/>
  <c r="J71" i="5" s="1"/>
  <c r="F59" i="4"/>
  <c r="E59" i="4"/>
  <c r="D59" i="4"/>
  <c r="D76" i="4"/>
  <c r="D66" i="4"/>
  <c r="D67" i="4"/>
  <c r="D68" i="4"/>
  <c r="D69" i="4"/>
  <c r="D70" i="4"/>
  <c r="D71" i="4"/>
  <c r="D72" i="4"/>
  <c r="D73" i="4"/>
  <c r="D74" i="4"/>
  <c r="D75" i="4"/>
  <c r="D77" i="4"/>
  <c r="M15" i="4"/>
  <c r="F11" i="5"/>
  <c r="K54" i="2" s="1"/>
  <c r="G11" i="5"/>
  <c r="N54" i="2" s="1"/>
  <c r="H11" i="5"/>
  <c r="E19" i="5"/>
  <c r="F19" i="5" s="1"/>
  <c r="G19" i="5" s="1"/>
  <c r="H19" i="5" s="1"/>
  <c r="I19" i="5" s="1"/>
  <c r="E11" i="5"/>
  <c r="H54" i="2" s="1"/>
  <c r="M22" i="4"/>
  <c r="E12" i="5"/>
  <c r="H16" i="2" s="1"/>
  <c r="E13" i="5"/>
  <c r="H48" i="2" s="1"/>
  <c r="E14" i="5"/>
  <c r="H36" i="2" s="1"/>
  <c r="E15" i="5"/>
  <c r="H20" i="2" s="1"/>
  <c r="E16" i="5"/>
  <c r="H28" i="2" s="1"/>
  <c r="E17" i="5"/>
  <c r="H53" i="2" s="1"/>
  <c r="E18" i="5"/>
  <c r="E10" i="5"/>
  <c r="H44" i="2" s="1"/>
  <c r="E8" i="5"/>
  <c r="H32" i="2" s="1"/>
  <c r="E9" i="5"/>
  <c r="O11" i="5" l="1"/>
  <c r="Q54" i="2"/>
  <c r="H40" i="2"/>
  <c r="H52" i="2"/>
  <c r="H24" i="2"/>
  <c r="O19" i="5"/>
  <c r="G58" i="4"/>
  <c r="H58" i="4"/>
  <c r="I47" i="4"/>
  <c r="G141" i="4" s="1"/>
  <c r="H47" i="4"/>
  <c r="G47" i="4"/>
  <c r="G49" i="4"/>
  <c r="H49" i="4"/>
  <c r="G56" i="4"/>
  <c r="H56" i="4"/>
  <c r="G48" i="4"/>
  <c r="H48" i="4"/>
  <c r="I55" i="4"/>
  <c r="G148" i="4" s="1"/>
  <c r="H55" i="4"/>
  <c r="G55" i="4"/>
  <c r="I54" i="4"/>
  <c r="G147" i="4" s="1"/>
  <c r="G54" i="4"/>
  <c r="H54" i="4"/>
  <c r="G57" i="4"/>
  <c r="H57" i="4"/>
  <c r="H53" i="4"/>
  <c r="G53" i="4"/>
  <c r="G52" i="4"/>
  <c r="H52" i="4"/>
  <c r="H51" i="4"/>
  <c r="G51" i="4"/>
  <c r="G50" i="4"/>
  <c r="H50" i="4"/>
  <c r="I52" i="4"/>
  <c r="G145" i="4" s="1"/>
  <c r="I49" i="4"/>
  <c r="I57" i="4"/>
  <c r="G149" i="4" s="1"/>
  <c r="I51" i="4"/>
  <c r="G144" i="4" s="1"/>
  <c r="I56" i="4"/>
  <c r="I48" i="4"/>
  <c r="G142" i="4" s="1"/>
  <c r="I53" i="4"/>
  <c r="G146" i="4" s="1"/>
  <c r="I58" i="4"/>
  <c r="I50" i="4"/>
  <c r="L11" i="5"/>
  <c r="N11" i="5"/>
  <c r="M11" i="5"/>
  <c r="L19" i="5"/>
  <c r="D9" i="5"/>
  <c r="K147" i="4" l="1"/>
  <c r="L147" i="4"/>
  <c r="K149" i="4"/>
  <c r="L149" i="4"/>
  <c r="L148" i="4"/>
  <c r="D34" i="5" s="1"/>
  <c r="K148" i="4"/>
  <c r="K145" i="4"/>
  <c r="L145" i="4"/>
  <c r="D31" i="5" s="1"/>
  <c r="K141" i="4"/>
  <c r="L141" i="4"/>
  <c r="D27" i="5" s="1"/>
  <c r="K146" i="4"/>
  <c r="L146" i="4"/>
  <c r="D32" i="5" s="1"/>
  <c r="K144" i="4"/>
  <c r="L144" i="4"/>
  <c r="D30" i="5" s="1"/>
  <c r="K142" i="4"/>
  <c r="L142" i="4"/>
  <c r="D28" i="5" s="1"/>
  <c r="E40" i="2"/>
  <c r="G40" i="2" s="1"/>
  <c r="E52" i="2"/>
  <c r="G52" i="2" s="1"/>
  <c r="J50" i="4"/>
  <c r="J51" i="4"/>
  <c r="I144" i="4" s="1"/>
  <c r="I30" i="5" s="1"/>
  <c r="J48" i="4"/>
  <c r="I142" i="4" s="1"/>
  <c r="J56" i="4"/>
  <c r="J52" i="4"/>
  <c r="I145" i="4" s="1"/>
  <c r="I31" i="5" s="1"/>
  <c r="J54" i="4"/>
  <c r="I147" i="4" s="1"/>
  <c r="J49" i="4"/>
  <c r="I143" i="4" s="1"/>
  <c r="I29" i="5" s="1"/>
  <c r="J55" i="4"/>
  <c r="I148" i="4" s="1"/>
  <c r="I34" i="5" s="1"/>
  <c r="J53" i="4"/>
  <c r="I146" i="4" s="1"/>
  <c r="I32" i="5" s="1"/>
  <c r="J47" i="4"/>
  <c r="I141" i="4" s="1"/>
  <c r="J57" i="4"/>
  <c r="I149" i="4" s="1"/>
  <c r="J58" i="4"/>
  <c r="N19" i="5"/>
  <c r="M19" i="5"/>
  <c r="G28" i="4"/>
  <c r="H28" i="4" s="1"/>
  <c r="D8" i="5" s="1"/>
  <c r="E32" i="2" s="1"/>
  <c r="G32" i="2" s="1"/>
  <c r="G41" i="4"/>
  <c r="H41" i="4" s="1"/>
  <c r="G39" i="4"/>
  <c r="G38" i="4"/>
  <c r="G37" i="4"/>
  <c r="G36" i="4"/>
  <c r="G35" i="4"/>
  <c r="G34" i="4"/>
  <c r="G33" i="4"/>
  <c r="G32" i="4"/>
  <c r="G31" i="4"/>
  <c r="G30" i="4"/>
  <c r="G29" i="4"/>
  <c r="H29" i="4" s="1"/>
  <c r="D40" i="4"/>
  <c r="E40" i="4"/>
  <c r="E21" i="4"/>
  <c r="F21" i="4"/>
  <c r="G21" i="4"/>
  <c r="H21" i="4"/>
  <c r="D78" i="4" s="1"/>
  <c r="I21" i="4"/>
  <c r="J21" i="4"/>
  <c r="K21" i="4"/>
  <c r="D21" i="4"/>
  <c r="N10" i="4"/>
  <c r="F9" i="5" s="1"/>
  <c r="K52" i="2" s="1"/>
  <c r="M52" i="2" s="1"/>
  <c r="M10" i="4"/>
  <c r="M9" i="4"/>
  <c r="F8" i="5" s="1"/>
  <c r="K32" i="2" s="1"/>
  <c r="M32" i="2" s="1"/>
  <c r="M20" i="4"/>
  <c r="M19" i="4"/>
  <c r="F18" i="5" s="1"/>
  <c r="G18" i="5" s="1"/>
  <c r="M18" i="4"/>
  <c r="F17" i="5" s="1"/>
  <c r="K53" i="2" s="1"/>
  <c r="M53" i="2" s="1"/>
  <c r="M17" i="4"/>
  <c r="F16" i="5" s="1"/>
  <c r="K28" i="2" s="1"/>
  <c r="M28" i="2" s="1"/>
  <c r="M16" i="4"/>
  <c r="F15" i="5" s="1"/>
  <c r="K20" i="2" s="1"/>
  <c r="M20" i="2" s="1"/>
  <c r="F14" i="5"/>
  <c r="K36" i="2" s="1"/>
  <c r="M36" i="2" s="1"/>
  <c r="M14" i="4"/>
  <c r="F13" i="5" s="1"/>
  <c r="K48" i="2" s="1"/>
  <c r="M48" i="2" s="1"/>
  <c r="M13" i="4"/>
  <c r="F12" i="5" s="1"/>
  <c r="M12" i="4"/>
  <c r="M11" i="4"/>
  <c r="F10" i="5" s="1"/>
  <c r="K44" i="2" s="1"/>
  <c r="M44" i="2" s="1"/>
  <c r="S54" i="2"/>
  <c r="P54" i="2"/>
  <c r="M54" i="2"/>
  <c r="J52" i="2"/>
  <c r="J53" i="2"/>
  <c r="J54" i="2"/>
  <c r="S49" i="2"/>
  <c r="P49" i="2"/>
  <c r="M49" i="2"/>
  <c r="J49" i="2"/>
  <c r="G49" i="2"/>
  <c r="J48" i="2"/>
  <c r="G47" i="2"/>
  <c r="G46" i="2"/>
  <c r="S45" i="2"/>
  <c r="P45" i="2"/>
  <c r="M45" i="2"/>
  <c r="J45" i="2"/>
  <c r="G45" i="2"/>
  <c r="J44" i="2"/>
  <c r="S41" i="2"/>
  <c r="P41" i="2"/>
  <c r="M41" i="2"/>
  <c r="J41" i="2"/>
  <c r="G41" i="2"/>
  <c r="J40" i="2"/>
  <c r="S37" i="2"/>
  <c r="P37" i="2"/>
  <c r="M37" i="2"/>
  <c r="J37" i="2"/>
  <c r="G37" i="2"/>
  <c r="J36" i="2"/>
  <c r="S33" i="2"/>
  <c r="P33" i="2"/>
  <c r="M33" i="2"/>
  <c r="J33" i="2"/>
  <c r="G33" i="2"/>
  <c r="J32" i="2"/>
  <c r="S29" i="2"/>
  <c r="P29" i="2"/>
  <c r="M29" i="2"/>
  <c r="J29" i="2"/>
  <c r="G29" i="2"/>
  <c r="J28" i="2"/>
  <c r="S27" i="2"/>
  <c r="P27" i="2"/>
  <c r="M27" i="2"/>
  <c r="J27" i="2"/>
  <c r="G27" i="2"/>
  <c r="S26" i="2"/>
  <c r="P26" i="2"/>
  <c r="M26" i="2"/>
  <c r="J26" i="2"/>
  <c r="G26" i="2"/>
  <c r="S25" i="2"/>
  <c r="P25" i="2"/>
  <c r="M25" i="2"/>
  <c r="J25" i="2"/>
  <c r="G25" i="2"/>
  <c r="J24" i="2"/>
  <c r="S23" i="2"/>
  <c r="P23" i="2"/>
  <c r="M23" i="2"/>
  <c r="J23" i="2"/>
  <c r="G23" i="2"/>
  <c r="S22" i="2"/>
  <c r="P22" i="2"/>
  <c r="M22" i="2"/>
  <c r="J22" i="2"/>
  <c r="G22" i="2"/>
  <c r="S21" i="2"/>
  <c r="P21" i="2"/>
  <c r="M21" i="2"/>
  <c r="J21" i="2"/>
  <c r="G21" i="2"/>
  <c r="J20" i="2"/>
  <c r="S17" i="2"/>
  <c r="P17" i="2"/>
  <c r="M17" i="2"/>
  <c r="J17" i="2"/>
  <c r="G17" i="2"/>
  <c r="G9" i="5" l="1"/>
  <c r="K40" i="2"/>
  <c r="M40" i="2" s="1"/>
  <c r="J32" i="5"/>
  <c r="E32" i="5" s="1"/>
  <c r="E43" i="2"/>
  <c r="G43" i="2" s="1"/>
  <c r="D64" i="5"/>
  <c r="J28" i="5"/>
  <c r="E28" i="5" s="1"/>
  <c r="E50" i="2"/>
  <c r="G50" i="2" s="1"/>
  <c r="E51" i="2"/>
  <c r="G51" i="2" s="1"/>
  <c r="J34" i="5"/>
  <c r="E34" i="5" s="1"/>
  <c r="D66" i="5"/>
  <c r="E18" i="2" s="1"/>
  <c r="G18" i="2" s="1"/>
  <c r="E19" i="2"/>
  <c r="G19" i="2" s="1"/>
  <c r="J31" i="5"/>
  <c r="E31" i="5" s="1"/>
  <c r="K24" i="2"/>
  <c r="M24" i="2" s="1"/>
  <c r="E38" i="2"/>
  <c r="G38" i="2" s="1"/>
  <c r="E39" i="2"/>
  <c r="G39" i="2" s="1"/>
  <c r="E31" i="2"/>
  <c r="G31" i="2" s="1"/>
  <c r="D70" i="5"/>
  <c r="E30" i="2" s="1"/>
  <c r="G30" i="2" s="1"/>
  <c r="J29" i="5"/>
  <c r="E29" i="5" s="1"/>
  <c r="J65" i="5"/>
  <c r="H59" i="4"/>
  <c r="H60" i="4" s="1"/>
  <c r="E27" i="5"/>
  <c r="E35" i="2"/>
  <c r="G35" i="2" s="1"/>
  <c r="G59" i="4"/>
  <c r="G60" i="4" s="1"/>
  <c r="I66" i="5"/>
  <c r="J66" i="5" s="1"/>
  <c r="J30" i="5"/>
  <c r="E30" i="5" s="1"/>
  <c r="J16" i="2"/>
  <c r="K16" i="2"/>
  <c r="H9" i="5"/>
  <c r="N52" i="2"/>
  <c r="P52" i="2" s="1"/>
  <c r="N40" i="2"/>
  <c r="P40" i="2" s="1"/>
  <c r="H18" i="5"/>
  <c r="N24" i="2"/>
  <c r="P24" i="2" s="1"/>
  <c r="I59" i="4"/>
  <c r="I60" i="4" s="1"/>
  <c r="J60" i="4" s="1"/>
  <c r="H32" i="4"/>
  <c r="D12" i="5" s="1"/>
  <c r="E16" i="2" s="1"/>
  <c r="G16" i="2" s="1"/>
  <c r="H33" i="4"/>
  <c r="D13" i="5" s="1"/>
  <c r="E48" i="2" s="1"/>
  <c r="G48" i="2" s="1"/>
  <c r="H30" i="4"/>
  <c r="D10" i="5" s="1"/>
  <c r="E44" i="2" s="1"/>
  <c r="G44" i="2" s="1"/>
  <c r="H31" i="4"/>
  <c r="D11" i="5" s="1"/>
  <c r="H34" i="4"/>
  <c r="D14" i="5" s="1"/>
  <c r="E36" i="2" s="1"/>
  <c r="G36" i="2" s="1"/>
  <c r="H38" i="4"/>
  <c r="D18" i="5" s="1"/>
  <c r="E24" i="2" s="1"/>
  <c r="G24" i="2" s="1"/>
  <c r="E20" i="5"/>
  <c r="F20" i="5" s="1"/>
  <c r="L20" i="5" s="1"/>
  <c r="H35" i="4"/>
  <c r="D15" i="5" s="1"/>
  <c r="E20" i="2" s="1"/>
  <c r="G20" i="2" s="1"/>
  <c r="H36" i="4"/>
  <c r="D16" i="5" s="1"/>
  <c r="E28" i="2" s="1"/>
  <c r="G28" i="2" s="1"/>
  <c r="H37" i="4"/>
  <c r="D17" i="5" s="1"/>
  <c r="E53" i="2" s="1"/>
  <c r="G53" i="2" s="1"/>
  <c r="H39" i="4"/>
  <c r="D19" i="5" s="1"/>
  <c r="J19" i="5" s="1"/>
  <c r="G40" i="4"/>
  <c r="H40" i="4" s="1"/>
  <c r="G13" i="5"/>
  <c r="N48" i="2" s="1"/>
  <c r="P48" i="2" s="1"/>
  <c r="L13" i="5"/>
  <c r="G15" i="5"/>
  <c r="N20" i="2" s="1"/>
  <c r="P20" i="2" s="1"/>
  <c r="L15" i="5"/>
  <c r="G16" i="5"/>
  <c r="N28" i="2" s="1"/>
  <c r="P28" i="2" s="1"/>
  <c r="L16" i="5"/>
  <c r="G17" i="5"/>
  <c r="N53" i="2" s="1"/>
  <c r="P53" i="2" s="1"/>
  <c r="L17" i="5"/>
  <c r="G12" i="5"/>
  <c r="L12" i="5"/>
  <c r="G8" i="5"/>
  <c r="L8" i="5"/>
  <c r="G14" i="5"/>
  <c r="N36" i="2" s="1"/>
  <c r="P36" i="2" s="1"/>
  <c r="L14" i="5"/>
  <c r="L9" i="5"/>
  <c r="G10" i="5"/>
  <c r="N44" i="2" s="1"/>
  <c r="P44" i="2" s="1"/>
  <c r="L10" i="5"/>
  <c r="L18" i="5"/>
  <c r="M21" i="4"/>
  <c r="J70" i="5" l="1"/>
  <c r="J67" i="5"/>
  <c r="J64" i="5"/>
  <c r="E42" i="2"/>
  <c r="G42" i="2" s="1"/>
  <c r="H47" i="2"/>
  <c r="J47" i="2" s="1"/>
  <c r="F29" i="5"/>
  <c r="H46" i="2"/>
  <c r="J46" i="2" s="1"/>
  <c r="H31" i="2"/>
  <c r="J31" i="2" s="1"/>
  <c r="F34" i="5"/>
  <c r="E70" i="5"/>
  <c r="H30" i="2" s="1"/>
  <c r="J30" i="2" s="1"/>
  <c r="H39" i="2"/>
  <c r="J39" i="2" s="1"/>
  <c r="E68" i="5"/>
  <c r="H38" i="2" s="1"/>
  <c r="J38" i="2" s="1"/>
  <c r="F32" i="5"/>
  <c r="E34" i="2"/>
  <c r="G34" i="2" s="1"/>
  <c r="H51" i="2"/>
  <c r="J51" i="2" s="1"/>
  <c r="F31" i="5"/>
  <c r="E67" i="5"/>
  <c r="H50" i="2" s="1"/>
  <c r="J50" i="2" s="1"/>
  <c r="H19" i="2"/>
  <c r="J19" i="2" s="1"/>
  <c r="F30" i="5"/>
  <c r="E66" i="5"/>
  <c r="H18" i="2" s="1"/>
  <c r="J18" i="2" s="1"/>
  <c r="H43" i="2"/>
  <c r="J43" i="2" s="1"/>
  <c r="E64" i="5"/>
  <c r="H42" i="2" s="1"/>
  <c r="J42" i="2" s="1"/>
  <c r="F28" i="5"/>
  <c r="H35" i="2"/>
  <c r="J35" i="2" s="1"/>
  <c r="F27" i="5"/>
  <c r="J68" i="5"/>
  <c r="M16" i="2"/>
  <c r="N16" i="2"/>
  <c r="I9" i="5"/>
  <c r="Q40" i="2"/>
  <c r="S40" i="2" s="1"/>
  <c r="Q52" i="2"/>
  <c r="S52" i="2" s="1"/>
  <c r="H8" i="5"/>
  <c r="N32" i="2"/>
  <c r="P32" i="2" s="1"/>
  <c r="E54" i="2"/>
  <c r="G54" i="2" s="1"/>
  <c r="J11" i="5"/>
  <c r="I18" i="5"/>
  <c r="Q24" i="2"/>
  <c r="S24" i="2" s="1"/>
  <c r="J59" i="4"/>
  <c r="G20" i="5"/>
  <c r="H20" i="5" s="1"/>
  <c r="F21" i="5"/>
  <c r="E21" i="5"/>
  <c r="D20" i="5"/>
  <c r="D21" i="5" s="1"/>
  <c r="H16" i="5"/>
  <c r="Q28" i="2" s="1"/>
  <c r="S28" i="2" s="1"/>
  <c r="M16" i="5"/>
  <c r="M18" i="5"/>
  <c r="M8" i="5"/>
  <c r="H10" i="5"/>
  <c r="Q44" i="2" s="1"/>
  <c r="S44" i="2" s="1"/>
  <c r="M10" i="5"/>
  <c r="H12" i="5"/>
  <c r="M12" i="5"/>
  <c r="H13" i="5"/>
  <c r="Q48" i="2" s="1"/>
  <c r="S48" i="2" s="1"/>
  <c r="M13" i="5"/>
  <c r="M9" i="5"/>
  <c r="H15" i="5"/>
  <c r="Q20" i="2" s="1"/>
  <c r="S20" i="2" s="1"/>
  <c r="M15" i="5"/>
  <c r="M17" i="5"/>
  <c r="H17" i="5"/>
  <c r="Q53" i="2" s="1"/>
  <c r="S53" i="2" s="1"/>
  <c r="H14" i="5"/>
  <c r="Q36" i="2" s="1"/>
  <c r="S36" i="2" s="1"/>
  <c r="M14" i="5"/>
  <c r="K51" i="2" l="1"/>
  <c r="M51" i="2" s="1"/>
  <c r="K50" i="2"/>
  <c r="M50" i="2" s="1"/>
  <c r="G31" i="5"/>
  <c r="K31" i="2"/>
  <c r="M31" i="2" s="1"/>
  <c r="G34" i="5"/>
  <c r="F70" i="5"/>
  <c r="K30" i="2" s="1"/>
  <c r="M30" i="2" s="1"/>
  <c r="K43" i="2"/>
  <c r="M43" i="2" s="1"/>
  <c r="G28" i="5"/>
  <c r="F64" i="5"/>
  <c r="K42" i="2" s="1"/>
  <c r="M42" i="2" s="1"/>
  <c r="K39" i="2"/>
  <c r="M39" i="2" s="1"/>
  <c r="F68" i="5"/>
  <c r="K38" i="2" s="1"/>
  <c r="M38" i="2" s="1"/>
  <c r="G32" i="5"/>
  <c r="K19" i="2"/>
  <c r="M19" i="2" s="1"/>
  <c r="G30" i="5"/>
  <c r="F66" i="5"/>
  <c r="K18" i="2" s="1"/>
  <c r="M18" i="2" s="1"/>
  <c r="K35" i="2"/>
  <c r="M35" i="2" s="1"/>
  <c r="G27" i="5"/>
  <c r="K47" i="2"/>
  <c r="M47" i="2" s="1"/>
  <c r="G29" i="5"/>
  <c r="K46" i="2"/>
  <c r="M46" i="2" s="1"/>
  <c r="H34" i="2"/>
  <c r="J34" i="2" s="1"/>
  <c r="E72" i="5"/>
  <c r="E73" i="5" s="1"/>
  <c r="O9" i="5"/>
  <c r="J9" i="5"/>
  <c r="P16" i="2"/>
  <c r="Q16" i="2"/>
  <c r="I8" i="5"/>
  <c r="Q32" i="2"/>
  <c r="S32" i="2" s="1"/>
  <c r="O18" i="5"/>
  <c r="J18" i="5"/>
  <c r="N13" i="5"/>
  <c r="I13" i="5"/>
  <c r="N16" i="5"/>
  <c r="I16" i="5"/>
  <c r="N14" i="5"/>
  <c r="I14" i="5"/>
  <c r="N17" i="5"/>
  <c r="I17" i="5"/>
  <c r="N20" i="5"/>
  <c r="I20" i="5"/>
  <c r="N12" i="5"/>
  <c r="I12" i="5"/>
  <c r="J12" i="5" s="1"/>
  <c r="N10" i="5"/>
  <c r="I10" i="5"/>
  <c r="J10" i="5" s="1"/>
  <c r="N15" i="5"/>
  <c r="I15" i="5"/>
  <c r="N18" i="5"/>
  <c r="N9" i="5"/>
  <c r="M20" i="5"/>
  <c r="G21" i="5"/>
  <c r="M21" i="5" s="1"/>
  <c r="L21" i="5"/>
  <c r="N8" i="5"/>
  <c r="H21" i="5"/>
  <c r="N43" i="2" l="1"/>
  <c r="P43" i="2" s="1"/>
  <c r="H28" i="5"/>
  <c r="G64" i="5"/>
  <c r="N42" i="2" s="1"/>
  <c r="P42" i="2" s="1"/>
  <c r="N31" i="2"/>
  <c r="P31" i="2" s="1"/>
  <c r="H34" i="5"/>
  <c r="N30" i="2"/>
  <c r="P30" i="2" s="1"/>
  <c r="N47" i="2"/>
  <c r="P47" i="2" s="1"/>
  <c r="N46" i="2"/>
  <c r="P46" i="2" s="1"/>
  <c r="H29" i="5"/>
  <c r="N39" i="2"/>
  <c r="P39" i="2" s="1"/>
  <c r="H32" i="5"/>
  <c r="G68" i="5"/>
  <c r="N38" i="2" s="1"/>
  <c r="P38" i="2" s="1"/>
  <c r="N51" i="2"/>
  <c r="P51" i="2" s="1"/>
  <c r="N50" i="2"/>
  <c r="P50" i="2" s="1"/>
  <c r="H31" i="5"/>
  <c r="K34" i="2"/>
  <c r="M34" i="2" s="1"/>
  <c r="F72" i="5"/>
  <c r="F73" i="5" s="1"/>
  <c r="N19" i="2"/>
  <c r="P19" i="2" s="1"/>
  <c r="H30" i="5"/>
  <c r="G66" i="5"/>
  <c r="N18" i="2" s="1"/>
  <c r="P18" i="2" s="1"/>
  <c r="N35" i="2"/>
  <c r="P35" i="2" s="1"/>
  <c r="H27" i="5"/>
  <c r="O15" i="5"/>
  <c r="J15" i="5"/>
  <c r="O14" i="5"/>
  <c r="J14" i="5"/>
  <c r="O17" i="5"/>
  <c r="J17" i="5"/>
  <c r="O8" i="5"/>
  <c r="J8" i="5"/>
  <c r="O16" i="5"/>
  <c r="J16" i="5"/>
  <c r="O20" i="5"/>
  <c r="J20" i="5"/>
  <c r="O13" i="5"/>
  <c r="J13" i="5"/>
  <c r="O12" i="5"/>
  <c r="S16" i="2"/>
  <c r="I21" i="5"/>
  <c r="O10" i="5"/>
  <c r="N21" i="5"/>
  <c r="N34" i="2" l="1"/>
  <c r="P34" i="2" s="1"/>
  <c r="G72" i="5"/>
  <c r="G73" i="5" s="1"/>
  <c r="Q50" i="2"/>
  <c r="S50" i="2" s="1"/>
  <c r="Q51" i="2"/>
  <c r="S51" i="2" s="1"/>
  <c r="Q19" i="2"/>
  <c r="S19" i="2" s="1"/>
  <c r="H66" i="5"/>
  <c r="Q18" i="2" s="1"/>
  <c r="S18" i="2" s="1"/>
  <c r="Q38" i="2"/>
  <c r="S38" i="2" s="1"/>
  <c r="Q39" i="2"/>
  <c r="S39" i="2" s="1"/>
  <c r="Q35" i="2"/>
  <c r="S35" i="2" s="1"/>
  <c r="I27" i="5"/>
  <c r="Q31" i="2"/>
  <c r="S31" i="2" s="1"/>
  <c r="Q30" i="2"/>
  <c r="S30" i="2" s="1"/>
  <c r="H64" i="5"/>
  <c r="Q42" i="2" s="1"/>
  <c r="S42" i="2" s="1"/>
  <c r="Q43" i="2"/>
  <c r="S43" i="2" s="1"/>
  <c r="Q46" i="2"/>
  <c r="S46" i="2" s="1"/>
  <c r="Q47" i="2"/>
  <c r="S47" i="2" s="1"/>
  <c r="O21" i="5"/>
  <c r="J21" i="5"/>
  <c r="I72" i="5" l="1"/>
  <c r="H72" i="5"/>
  <c r="H73" i="5" s="1"/>
  <c r="Q34" i="2"/>
  <c r="S34" i="2" s="1"/>
  <c r="I73" i="5" l="1"/>
  <c r="J73" i="5" s="1"/>
  <c r="J7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Feldman</author>
  </authors>
  <commentList>
    <comment ref="F8" authorId="0" shapeId="0" xr:uid="{BD846035-2B45-4703-B87D-2A568F15111D}">
      <text>
        <r>
          <rPr>
            <b/>
            <sz val="9"/>
            <color indexed="81"/>
            <rFont val="Tahoma"/>
            <family val="2"/>
          </rPr>
          <t>Debbie Feldman:</t>
        </r>
        <r>
          <rPr>
            <sz val="9"/>
            <color indexed="81"/>
            <rFont val="Tahoma"/>
            <family val="2"/>
          </rPr>
          <t xml:space="preserve">
plataforma/ programa desarrollo propio  90mm</t>
        </r>
      </text>
    </comment>
    <comment ref="F9" authorId="0" shapeId="0" xr:uid="{8CC9FFBD-CBF9-4D2D-9254-6B30839E5E71}">
      <text>
        <r>
          <rPr>
            <b/>
            <sz val="9"/>
            <color indexed="81"/>
            <rFont val="Tahoma"/>
            <family val="2"/>
          </rPr>
          <t>Debbie Feldman:</t>
        </r>
        <r>
          <rPr>
            <sz val="9"/>
            <color indexed="81"/>
            <rFont val="Tahoma"/>
            <family val="2"/>
          </rPr>
          <t xml:space="preserve">
50% cada uno</t>
        </r>
      </text>
    </comment>
    <comment ref="F10" authorId="0" shapeId="0" xr:uid="{9D6E6661-32BF-4817-8563-8CB15BACA9A3}">
      <text>
        <r>
          <rPr>
            <b/>
            <sz val="9"/>
            <color indexed="81"/>
            <rFont val="Tahoma"/>
            <family val="2"/>
          </rPr>
          <t>Debbie Feldman:</t>
        </r>
        <r>
          <rPr>
            <sz val="9"/>
            <color indexed="81"/>
            <rFont val="Tahoma"/>
            <family val="2"/>
          </rPr>
          <t xml:space="preserve">
Agencias (AGENCIAS CONTENIDO - RRSS- CREATIVA - SEO / REPORTING - PROD. FOTOGRAFICA- TRADUCCIONES- DESARROLLO)</t>
        </r>
      </text>
    </comment>
    <comment ref="F36" authorId="0" shapeId="0" xr:uid="{EF356398-1FED-4642-99DF-6614777D9978}">
      <text>
        <r>
          <rPr>
            <b/>
            <sz val="9"/>
            <color indexed="81"/>
            <rFont val="Tahoma"/>
            <family val="2"/>
          </rPr>
          <t>Debbie Feldman:</t>
        </r>
        <r>
          <rPr>
            <sz val="9"/>
            <color indexed="81"/>
            <rFont val="Tahoma"/>
            <family val="2"/>
          </rPr>
          <t xml:space="preserve">
branding 
agencias de traduccion
contenido
soporte: traduccion</t>
        </r>
      </text>
    </comment>
    <comment ref="F39" authorId="0" shapeId="0" xr:uid="{9AB05D15-2EB5-4B8F-BA31-7860F936D63F}">
      <text>
        <r>
          <rPr>
            <b/>
            <sz val="9"/>
            <color indexed="81"/>
            <rFont val="Tahoma"/>
            <family val="2"/>
          </rPr>
          <t>Debbie Feldman:</t>
        </r>
        <r>
          <rPr>
            <sz val="9"/>
            <color indexed="81"/>
            <rFont val="Tahoma"/>
            <family val="2"/>
          </rPr>
          <t xml:space="preserve">
Nichos- los angeles (signature)
Atta
</t>
        </r>
      </text>
    </comment>
    <comment ref="F54" authorId="0" shapeId="0" xr:uid="{39CB4280-B7ED-4F80-AB82-00D2532DD770}">
      <text>
        <r>
          <rPr>
            <b/>
            <sz val="9"/>
            <color indexed="81"/>
            <rFont val="Tahoma"/>
            <family val="2"/>
          </rPr>
          <t>Debbie Feldman:</t>
        </r>
        <r>
          <rPr>
            <sz val="9"/>
            <color indexed="81"/>
            <rFont val="Tahoma"/>
            <family val="2"/>
          </rPr>
          <t xml:space="preserve">
4 pais
90millones</t>
        </r>
      </text>
    </comment>
    <comment ref="F64" authorId="0" shapeId="0" xr:uid="{85428A86-C6A4-44DD-B990-10BCEC8E20E4}">
      <text>
        <r>
          <rPr>
            <b/>
            <sz val="9"/>
            <color indexed="81"/>
            <rFont val="Tahoma"/>
            <family val="2"/>
          </rPr>
          <t>Debbie Feldman:</t>
        </r>
        <r>
          <rPr>
            <sz val="9"/>
            <color indexed="81"/>
            <rFont val="Tahoma"/>
            <family val="2"/>
          </rPr>
          <t xml:space="preserve">
RDS MUCHO MAS IMPORTANTE.
</t>
        </r>
      </text>
    </comment>
    <comment ref="F65" authorId="0" shapeId="0" xr:uid="{D46268CE-ABFE-4FFA-A9CC-468EDD49C0A1}">
      <text>
        <r>
          <rPr>
            <b/>
            <sz val="9"/>
            <color indexed="81"/>
            <rFont val="Tahoma"/>
            <family val="2"/>
          </rPr>
          <t>Debbie Feldman:</t>
        </r>
        <r>
          <rPr>
            <sz val="9"/>
            <color indexed="81"/>
            <rFont val="Tahoma"/>
            <family val="2"/>
          </rPr>
          <t xml:space="preserve">
Accion puntual
Ideal incluirlo en un fam</t>
        </r>
      </text>
    </comment>
    <comment ref="F74" authorId="0" shapeId="0" xr:uid="{7ACD5034-903F-4DD6-A918-EC32BFD0E6AC}">
      <text>
        <r>
          <rPr>
            <b/>
            <sz val="9"/>
            <color indexed="81"/>
            <rFont val="Tahoma"/>
            <family val="2"/>
          </rPr>
          <t>Debbie Feldman:</t>
        </r>
        <r>
          <rPr>
            <sz val="9"/>
            <color indexed="81"/>
            <rFont val="Tahoma"/>
            <family val="2"/>
          </rPr>
          <t xml:space="preserve">
membresia + lata expo</t>
        </r>
      </text>
    </comment>
    <comment ref="F92" authorId="0" shapeId="0" xr:uid="{B3DB07E0-E3AD-436A-809A-0B261D32FE11}">
      <text>
        <r>
          <rPr>
            <b/>
            <sz val="9"/>
            <color indexed="81"/>
            <rFont val="Tahoma"/>
            <family val="2"/>
          </rPr>
          <t>Debbie Feldman:</t>
        </r>
        <r>
          <rPr>
            <sz val="9"/>
            <color indexed="81"/>
            <rFont val="Tahoma"/>
            <family val="2"/>
          </rPr>
          <t xml:space="preserve">
wks australia</t>
        </r>
      </text>
    </comment>
    <comment ref="F98" authorId="0" shapeId="0" xr:uid="{ADCD2E8E-12BE-45C9-9B19-7ED2239C6C15}">
      <text>
        <r>
          <rPr>
            <b/>
            <sz val="9"/>
            <color indexed="81"/>
            <rFont val="Tahoma"/>
            <family val="2"/>
          </rPr>
          <t>Debbie Feldman:</t>
        </r>
        <r>
          <rPr>
            <sz val="9"/>
            <color indexed="81"/>
            <rFont val="Tahoma"/>
            <family val="2"/>
          </rPr>
          <t xml:space="preserve">
Brasil o USA
RRHH que traigan sus incentivos</t>
        </r>
      </text>
    </comment>
    <comment ref="F106" authorId="0" shapeId="0" xr:uid="{A01C0EFD-EDC7-4852-84B9-5DBEC3671EA0}">
      <text>
        <r>
          <rPr>
            <b/>
            <sz val="9"/>
            <color indexed="81"/>
            <rFont val="Tahoma"/>
            <family val="2"/>
          </rPr>
          <t>Debbie Feldman:</t>
        </r>
        <r>
          <rPr>
            <sz val="9"/>
            <color indexed="81"/>
            <rFont val="Tahoma"/>
            <family val="2"/>
          </rPr>
          <t xml:space="preserve">
ver si chile es sede fiexpo 2024
</t>
        </r>
      </text>
    </comment>
    <comment ref="F107" authorId="0" shapeId="0" xr:uid="{50B3D97C-46E1-43F2-8BE5-609B287FA9BA}">
      <text>
        <r>
          <rPr>
            <b/>
            <sz val="9"/>
            <color indexed="81"/>
            <rFont val="Tahoma"/>
            <family val="2"/>
          </rPr>
          <t>Debbie Feldman:</t>
        </r>
        <r>
          <rPr>
            <sz val="9"/>
            <color indexed="81"/>
            <rFont val="Tahoma"/>
            <family val="2"/>
          </rPr>
          <t xml:space="preserve">
Discover Chile
Casas de incentivos</t>
        </r>
      </text>
    </comment>
    <comment ref="H114" authorId="0" shapeId="0" xr:uid="{21FB9D3A-CA42-4B15-AF02-22F344C06DB9}">
      <text>
        <r>
          <rPr>
            <b/>
            <sz val="9"/>
            <color indexed="81"/>
            <rFont val="Tahoma"/>
            <family val="2"/>
          </rPr>
          <t>Debbie Feldman:</t>
        </r>
        <r>
          <rPr>
            <sz val="9"/>
            <color indexed="81"/>
            <rFont val="Tahoma"/>
            <family val="2"/>
          </rPr>
          <t xml:space="preserve">
15MM POR REGIONES</t>
        </r>
      </text>
    </comment>
  </commentList>
</comments>
</file>

<file path=xl/sharedStrings.xml><?xml version="1.0" encoding="utf-8"?>
<sst xmlns="http://schemas.openxmlformats.org/spreadsheetml/2006/main" count="1008" uniqueCount="364">
  <si>
    <t>MERCADO</t>
  </si>
  <si>
    <t>Indicador</t>
  </si>
  <si>
    <t>Esperado</t>
  </si>
  <si>
    <t>Logrado</t>
  </si>
  <si>
    <t>BRASIL</t>
  </si>
  <si>
    <t>Llegadas</t>
  </si>
  <si>
    <t>Presupuesto USD</t>
  </si>
  <si>
    <t>ESPAÑA</t>
  </si>
  <si>
    <t>REINO UNIDO</t>
  </si>
  <si>
    <t>FRANCIA</t>
  </si>
  <si>
    <t>ALEMANIA</t>
  </si>
  <si>
    <t>AUSTRALIA</t>
  </si>
  <si>
    <t>COLOMBIA</t>
  </si>
  <si>
    <t>Branding</t>
  </si>
  <si>
    <t>Clubes de producto</t>
  </si>
  <si>
    <t>Travel Planner</t>
  </si>
  <si>
    <t>Itinerarios</t>
  </si>
  <si>
    <t>Tasa de conversión</t>
  </si>
  <si>
    <t>Fam Trips</t>
  </si>
  <si>
    <t xml:space="preserve">Aumento de presencia de Chile en el canal comercial </t>
  </si>
  <si>
    <t>Webinars</t>
  </si>
  <si>
    <t>Workshops y Roadshows</t>
  </si>
  <si>
    <t>Ferias</t>
  </si>
  <si>
    <t>Volumen de generación de negocio</t>
  </si>
  <si>
    <t>Cooperados-aerolíneas y trade</t>
  </si>
  <si>
    <t>Número de leads generados</t>
  </si>
  <si>
    <t>Campañas online: Always on</t>
  </si>
  <si>
    <t>Campañas online: Específicas</t>
  </si>
  <si>
    <t>Capacitación – Interna</t>
  </si>
  <si>
    <t>Cooperación con Regiones</t>
  </si>
  <si>
    <t>Cooperación - Nacionales</t>
  </si>
  <si>
    <t>ARGENTINA</t>
  </si>
  <si>
    <t>PERÚ</t>
  </si>
  <si>
    <t>BOLIVIA</t>
  </si>
  <si>
    <t>Acción</t>
  </si>
  <si>
    <t>Valor económico del impacto del turismo en Chile después de implementar la estrategia de branding. Se consideran los ingresos generados por visitantes, empleo generado etc.</t>
  </si>
  <si>
    <t>Incremento de ingresos</t>
  </si>
  <si>
    <t>Comparación de ingresos totales y específicos relacionados con los productos y servicios ofrecidos por los clubes antes y después de su implementación</t>
  </si>
  <si>
    <t>Incremento de demanda</t>
  </si>
  <si>
    <t>Evaluación del cambio en la demanda de productos y servicios incluidos en los clubes antes y después de su implementación (ej. Reservas, estadía, ocupación etc.)</t>
  </si>
  <si>
    <t>Nivel de colaboración empresarial</t>
  </si>
  <si>
    <t>Número de colaboraciones establecidas a través de los clubes, que indican un impacto económico positivo</t>
  </si>
  <si>
    <t>Gasto promedio de los turistas que participan en productos y servicios de los clubes de producto en comparación con otros visitantes (ej. Alojamiento, transporte, actividades complementarias etc.)</t>
  </si>
  <si>
    <t>Número de colaboraciones establecidas a través del Travel Planner, que indican un impacto económico positivo</t>
  </si>
  <si>
    <t>Valor promedio de las reservas</t>
  </si>
  <si>
    <t>Número de ventas generadas</t>
  </si>
  <si>
    <t>Número de reservas realizadas para cada proveedor a través de la herramienta del Travel Planner, redirigiendo a ventas privadas</t>
  </si>
  <si>
    <t xml:space="preserve">Número de reservas generadas entre el número total de visitas o visualizaciones de los productos o servicios de cada proveedor en el Travel Planner </t>
  </si>
  <si>
    <t>Número de reservas o ventas de los itinerarios creados, que refleja el impacto económico directo generado en términos de ingresos para los proveedores</t>
  </si>
  <si>
    <t>Número de reservas generadas entre el número total de visitas o visualizaciones de los itinerarios</t>
  </si>
  <si>
    <t>Valor promedio de las reservas realizadas a través del Travel Planer redirigiendo a la venta privada</t>
  </si>
  <si>
    <t>Valor promedio de las reservas realizadas a través de los itinerarios</t>
  </si>
  <si>
    <t>Tasa de retención</t>
  </si>
  <si>
    <t>Nivel de retención que mide el número de usuarios que repiten reservas con un proveedor a través del Travel Planner</t>
  </si>
  <si>
    <t>Gasto adicional por turista</t>
  </si>
  <si>
    <t>Nivel de gasto adicional realizado por los turistas que siguieron los itinerarios (ej. Comidas, alojamiento, transporte, actividades y compras adicionales etc.)</t>
  </si>
  <si>
    <t>Incremento del tiempo de estancia</t>
  </si>
  <si>
    <t>Comparación de la estadía promedio con y sin itinerarios. El incremento de tiempo de estancia puede indicar que los itinerarios han agregado valor al destino, lo que se traduce en mayor gasto y un impacto económico positivo</t>
  </si>
  <si>
    <t>Número de colaboraciones establecidas a través de los itinerarios, que indican un impacto económico positivo</t>
  </si>
  <si>
    <t>Gasto turístico promedio</t>
  </si>
  <si>
    <t>Número de acuerdos comerciales entre operadores turísticos invitados y los proveedores de servicios turísticos en Chile. Aumento del número de catálogos de TTOO en origen que ofrecen Chile como destino</t>
  </si>
  <si>
    <t>Incremento de la cuota de mercado</t>
  </si>
  <si>
    <t>Aumento de la cuota de mercado de los TTOO invitados tras el fam trip</t>
  </si>
  <si>
    <t>Generación de leads</t>
  </si>
  <si>
    <t>Número de nuevos leads o contactos comerciales obtenidos a través del webinar</t>
  </si>
  <si>
    <t>Satisfacción de los participantes</t>
  </si>
  <si>
    <t>Recopilación de opiniones sobre el webinar (ej. Relevancia, claridad, nivel de interacción etc.). Un alto nivel de satisfacción indicará un mayor impacto económico a largo plazo, ya que los participantes satisfechos son más propensos a considerar y promover el destino</t>
  </si>
  <si>
    <t>Aumento del número de catálogos de TTOO en origen invitados que ofrecen Chile como destino</t>
  </si>
  <si>
    <t xml:space="preserve">Número de nuevos leads o contactos comerciales obtenidos a partir de reuniones de negocios o encuentros B2B llevados a cabo durante el workshop o roadshow </t>
  </si>
  <si>
    <t>Recopilación de opiniones sobre el workshop o roadshow. Un alto nivel de satisfacción indicará un mayor impacto económico a largo plazo, ya que los participantes satisfechos son más propensos a considerar y promover el destino</t>
  </si>
  <si>
    <t xml:space="preserve">Volumen total de ventas generadas después del fam trip por los operadores turísticos en origen invitados </t>
  </si>
  <si>
    <t>Volumen de ventas generadas por TTOO en origen</t>
  </si>
  <si>
    <t>Incremento de reservas o visitas a los servicios turísticos incluidos en el fam trip (ej. Empresas de actividades, hoteles, restaurantes, TTOO etc.)</t>
  </si>
  <si>
    <t>Generación de leads cualificados</t>
  </si>
  <si>
    <t>Número de leads cualificados obtenidos durante la feria turística. Estos son contactos comerciales con un alto potencial de conversión en ventas o acuerdos comerciales</t>
  </si>
  <si>
    <t>Nivel de negocio generado por el sector turístico domésticos</t>
  </si>
  <si>
    <t>Volumen total de ventas o contratos generados directamente como resultado de la participación en la feria turística</t>
  </si>
  <si>
    <t>Incremento de ventas de billetes</t>
  </si>
  <si>
    <t xml:space="preserve">Aumento de ventas de billetes desde los mercados foco en vuelos operados por las aerolíneas cooperadas durante de la campaña  </t>
  </si>
  <si>
    <t>Número de personas que se han interesado en comprar un billete una vez vista la campaña con una aerolínea</t>
  </si>
  <si>
    <t>Incremento en load factor</t>
  </si>
  <si>
    <t>Incremento en la tasa de ocupación de vuelos hacia Chile durante el periodo de la campaña. Una elevada tasa de ocupación genera impacto económico positivo y asegura las rutas de las aerolíneas con destino Chile</t>
  </si>
  <si>
    <t>Incremento en la demanda de reservas</t>
  </si>
  <si>
    <t>Aumento de reservas realizadas durante la campaña online always on (en el momento de ensoñación por mercado)</t>
  </si>
  <si>
    <t>Aumento de demanda de la temática promovida</t>
  </si>
  <si>
    <t>Nivel de demanda de los visitantes en la temática promovida en la campaña (ej. Participación en una actividad concreta, demanda de una experiencia, visitas a un destino concreto, llegadas a una Región etc.)</t>
  </si>
  <si>
    <t>Aumento de reservas de viajes a Chile realizadas durante la campaña online específica</t>
  </si>
  <si>
    <t>Evolución de reservas y ventas desde los mercados de origen que han participado en la capacitación interna del sector turístico chileno</t>
  </si>
  <si>
    <t>Incremento de reservas desde mercados de origen</t>
  </si>
  <si>
    <t>Fondos cooperados Regional y Nacional</t>
  </si>
  <si>
    <t>Inversión total levantada entre los fondos nacionales y la participación voluntaria de las Regiones para la promoción en mercaos limítrofes y no limítrofes</t>
  </si>
  <si>
    <t>Fondos de cooperación público-privada nacional</t>
  </si>
  <si>
    <t>Lista de acciones y KPIs ilustrativa y no exhaustiva</t>
  </si>
  <si>
    <t>Explicación del índice</t>
  </si>
  <si>
    <t>KPIs</t>
  </si>
  <si>
    <t>Plan de Marketing Turístico Internacional de Chile 2023 – 2027</t>
  </si>
  <si>
    <t>Producto Nº4: Definición de metas y KPIs de gestión, así como sugerir herramientas de medición para acciones promocionales y comunicacionales</t>
  </si>
  <si>
    <t>Índice:</t>
  </si>
  <si>
    <t>Objetivo:</t>
  </si>
  <si>
    <t>MERCADOS</t>
  </si>
  <si>
    <t xml:space="preserve">BRASIL </t>
  </si>
  <si>
    <t>EEUU</t>
  </si>
  <si>
    <t>PERU</t>
  </si>
  <si>
    <t>URUGUAY</t>
  </si>
  <si>
    <t>OTROS</t>
  </si>
  <si>
    <t>Llegadas 2015</t>
  </si>
  <si>
    <t>Llegadas 2016</t>
  </si>
  <si>
    <t>Llegadas 2017</t>
  </si>
  <si>
    <t>Llegadas 2018</t>
  </si>
  <si>
    <t>Llegadas 2019</t>
  </si>
  <si>
    <t>Llegadas 2020</t>
  </si>
  <si>
    <t>Llegadas 2021</t>
  </si>
  <si>
    <t>Llegadas 2022</t>
  </si>
  <si>
    <t>TOTAL CHILE</t>
  </si>
  <si>
    <t>Fuente: SERNATUR y Subsecretaría de Turismo</t>
  </si>
  <si>
    <t>Llegadas de turistas extranjeros a Chile por año (2015-2022)</t>
  </si>
  <si>
    <t>CAGR 2015-2019</t>
  </si>
  <si>
    <t>Excepciones</t>
  </si>
  <si>
    <t>oct-dec 2018</t>
  </si>
  <si>
    <t>oct-dec 2022</t>
  </si>
  <si>
    <t>% GAP</t>
  </si>
  <si>
    <t>Proyecciones</t>
  </si>
  <si>
    <t>Objetivo 2023</t>
  </si>
  <si>
    <t>Gap de llegadas entre el último timestre de 2008 y 2022</t>
  </si>
  <si>
    <t>CAGRs base para las proyecciones:</t>
  </si>
  <si>
    <t>Dif 24-25</t>
  </si>
  <si>
    <t>Dif 25-26</t>
  </si>
  <si>
    <t>Dif 26-27</t>
  </si>
  <si>
    <t>Gasto total 2019</t>
  </si>
  <si>
    <t>Ingreso ($) 2017</t>
  </si>
  <si>
    <t>Ingreso ($) 2018</t>
  </si>
  <si>
    <t>Ingreso ($) 2019</t>
  </si>
  <si>
    <t>Ingreso ($) 2020</t>
  </si>
  <si>
    <t>Ingreso ($) 2021</t>
  </si>
  <si>
    <t>Ingreso ($) 2022</t>
  </si>
  <si>
    <t>CANADÁ</t>
  </si>
  <si>
    <t>CHINA</t>
  </si>
  <si>
    <t>ECUADOR</t>
  </si>
  <si>
    <t>ITALIA</t>
  </si>
  <si>
    <t>MÉXICO</t>
  </si>
  <si>
    <t>PAISES BAJOS</t>
  </si>
  <si>
    <t>Ingreso de divisas por mercados (USD)</t>
  </si>
  <si>
    <t>Fuente: Cálculo THR en base a datos de llegadas e ingreso de divisas de SERNATUR y Subsecretaría de Turismo</t>
  </si>
  <si>
    <t>Gasto total individual por mercado (USD)</t>
  </si>
  <si>
    <t>Fuente: SERNATUR y Subsecretaría de Turismo y cálculo THR 2022</t>
  </si>
  <si>
    <t>Etiquetas de fila</t>
  </si>
  <si>
    <t>Total general</t>
  </si>
  <si>
    <t>CHILE</t>
  </si>
  <si>
    <t>MICE</t>
  </si>
  <si>
    <t>MULTIMERCADO</t>
  </si>
  <si>
    <t>SOPORTE</t>
  </si>
  <si>
    <t>Presupuestos de inversión por mercados (CLP)</t>
  </si>
  <si>
    <t xml:space="preserve">Fuente: SERNATUR </t>
  </si>
  <si>
    <t>Presupuestos de inversión por mercados (USD)</t>
  </si>
  <si>
    <t>1 USD = 835 CLP</t>
  </si>
  <si>
    <t>Inputs, assumptions y cálculos</t>
  </si>
  <si>
    <t>Fuente: Cálculo THR en base al ingreso de divisas y el presupuesto de inversión anual por mercado</t>
  </si>
  <si>
    <t>AVG ROI 17-19</t>
  </si>
  <si>
    <t>AVG ROI 17-22</t>
  </si>
  <si>
    <t>ROI máx.</t>
  </si>
  <si>
    <t>ROI año directo</t>
  </si>
  <si>
    <t xml:space="preserve">Fuente: Cálculo THR </t>
  </si>
  <si>
    <t>ROI promedio y ROI máximo</t>
  </si>
  <si>
    <t>ROI min.</t>
  </si>
  <si>
    <t>Dif 27-28</t>
  </si>
  <si>
    <t>Metas para llegadas de turistas extranjeros a Chile por año (2022-2028)</t>
  </si>
  <si>
    <t>CAGR 23-28</t>
  </si>
  <si>
    <t>ROI min. excl. 22</t>
  </si>
  <si>
    <t>Ingreso total de divisas</t>
  </si>
  <si>
    <t>CAGR 14-19</t>
  </si>
  <si>
    <t>ARGENTINA/CABA</t>
  </si>
  <si>
    <t>Área negocio</t>
  </si>
  <si>
    <t>Acción genérica</t>
  </si>
  <si>
    <t>Proyecto</t>
  </si>
  <si>
    <t>TRADE</t>
  </si>
  <si>
    <t>PR</t>
  </si>
  <si>
    <t xml:space="preserve">Agencia PR </t>
  </si>
  <si>
    <t>FAM</t>
  </si>
  <si>
    <t>Fam Tour</t>
  </si>
  <si>
    <t>CAPACITACIÓN</t>
  </si>
  <si>
    <t>Capacitación Canal comercial</t>
  </si>
  <si>
    <t>COOPERADA</t>
  </si>
  <si>
    <t>Campañas Cooperadas</t>
  </si>
  <si>
    <t>CAMPAÑA</t>
  </si>
  <si>
    <t>Campañas Trade</t>
  </si>
  <si>
    <t xml:space="preserve">FERIAS Y EVENTOS </t>
  </si>
  <si>
    <t>FERIAS</t>
  </si>
  <si>
    <t xml:space="preserve">Feria WTM Latam - Sao Paulo </t>
  </si>
  <si>
    <t>ROADSHOW</t>
  </si>
  <si>
    <t>Roadshow BR (3 ciudades)</t>
  </si>
  <si>
    <t>PRENSA E INFLUENCIADORES</t>
  </si>
  <si>
    <t>PRESS</t>
  </si>
  <si>
    <t>Viajes de prensa</t>
  </si>
  <si>
    <t xml:space="preserve">BRANDING </t>
  </si>
  <si>
    <t>CAMPAÑA AO</t>
  </si>
  <si>
    <t>Always on</t>
  </si>
  <si>
    <t>CAMPAÑA ESP</t>
  </si>
  <si>
    <t>Especificas</t>
  </si>
  <si>
    <t>FIT - Buenos Aires</t>
  </si>
  <si>
    <t>Adventure Next - Bogotá</t>
  </si>
  <si>
    <t xml:space="preserve">Viajes de influenciadores </t>
  </si>
  <si>
    <t>SEATRADE</t>
  </si>
  <si>
    <t>TRAVELMARTLATINAMERICA</t>
  </si>
  <si>
    <t>ROADSHOW (3 ciudades)</t>
  </si>
  <si>
    <t>ATTA - ELEVATE</t>
  </si>
  <si>
    <t>ATTA -  ATWS</t>
  </si>
  <si>
    <t>USTOA</t>
  </si>
  <si>
    <t>SIGNATURE</t>
  </si>
  <si>
    <t>FITUR</t>
  </si>
  <si>
    <t>FITUR MICE</t>
  </si>
  <si>
    <t>ROADSHOW EUROPA</t>
  </si>
  <si>
    <t>TOPRESA</t>
  </si>
  <si>
    <t>WORKSHOP</t>
  </si>
  <si>
    <t>COTAL</t>
  </si>
  <si>
    <t>LATA Expo</t>
  </si>
  <si>
    <t>WTM Londres</t>
  </si>
  <si>
    <t>Always On</t>
  </si>
  <si>
    <t>ITB BERLIN</t>
  </si>
  <si>
    <t>ARGE  (FREE MUNCHEN)</t>
  </si>
  <si>
    <t>Roadshow</t>
  </si>
  <si>
    <t xml:space="preserve">Campañas Trade </t>
  </si>
  <si>
    <t>FAM Gerentes de RRHH de grandes empresas Latam</t>
  </si>
  <si>
    <t>Rueda de Negocios MICE</t>
  </si>
  <si>
    <t>Cena de la Industria MICE</t>
  </si>
  <si>
    <t>Campañas trade</t>
  </si>
  <si>
    <t>Fiexpo Latin America Panamá piso</t>
  </si>
  <si>
    <t>IMEX AMERICA</t>
  </si>
  <si>
    <t>Pago de inscripción ICCA Latin American &amp; Caribbean Summit 2023</t>
  </si>
  <si>
    <t>Motivation Luxury Summit Costa Rica</t>
  </si>
  <si>
    <t>Workshop Technical Visit Chile - Fiexpo - Reserva 2024</t>
  </si>
  <si>
    <t>Expedition</t>
  </si>
  <si>
    <t>Otros Eventos</t>
  </si>
  <si>
    <t>Membresía ICCA 2023</t>
  </si>
  <si>
    <t>ACCIONES POSTULACIONES A EVENTOS</t>
  </si>
  <si>
    <t>Postulación a Eventos Internacionales, Site Inspection, Programa Embajadores</t>
  </si>
  <si>
    <t xml:space="preserve">Campañas  </t>
  </si>
  <si>
    <t xml:space="preserve">Capacitaciones a Operadores turisticos sobre el Canal Comercial </t>
  </si>
  <si>
    <t>FAM Nacionales</t>
  </si>
  <si>
    <t>REGIONES</t>
  </si>
  <si>
    <t>Campañas / Eventos Regiones</t>
  </si>
  <si>
    <t>Especificas. Incluye acciones para Argentina, Perú y Bolivia</t>
  </si>
  <si>
    <t>Alianza del Pacifico</t>
  </si>
  <si>
    <t>Prospección de mercados</t>
  </si>
  <si>
    <t>AUDIOVISUAL</t>
  </si>
  <si>
    <t>Fotografias y videos de destinos emergentes</t>
  </si>
  <si>
    <t>PLATAFORMAS INTELINGENCIA</t>
  </si>
  <si>
    <t>Fowedkeys, OAG</t>
  </si>
  <si>
    <t xml:space="preserve">RRHH </t>
  </si>
  <si>
    <t>Equipo de mkt internacional</t>
  </si>
  <si>
    <t>EQUIPOS Y LICENCIAS</t>
  </si>
  <si>
    <t>Computadores, licencias diseño etc</t>
  </si>
  <si>
    <t>AGENCIA BRANDING/CREATIVA</t>
  </si>
  <si>
    <t>Agencias de campañas y comunicación estrategica con los mercados</t>
  </si>
  <si>
    <t>AGENCIA DE CONTENIDOS</t>
  </si>
  <si>
    <t>Rediseño chile.travel, travel planer</t>
  </si>
  <si>
    <t>IMPRESIÓN MATERIAL</t>
  </si>
  <si>
    <t>ENVIOS</t>
  </si>
  <si>
    <t>Envios internacionales</t>
  </si>
  <si>
    <t>TOTAL ACCIONES</t>
  </si>
  <si>
    <t>TOTAL SOPORTE</t>
  </si>
  <si>
    <t>TOTAL FINAL</t>
  </si>
  <si>
    <t>Mercados</t>
  </si>
  <si>
    <t>Australia y Alemania</t>
  </si>
  <si>
    <t>EEUU, Francia</t>
  </si>
  <si>
    <t xml:space="preserve"> Valor de la marca turística Chile</t>
  </si>
  <si>
    <t>Proyección de presupuestos de inversión por acción y mercado</t>
  </si>
  <si>
    <t>Crecimientos anuales input</t>
  </si>
  <si>
    <t>2024-2025</t>
  </si>
  <si>
    <t>2025-2026</t>
  </si>
  <si>
    <t>% diferencial</t>
  </si>
  <si>
    <t>Alineamiento de resultados con los inputs</t>
  </si>
  <si>
    <t>Valor esperado</t>
  </si>
  <si>
    <t>Diferencial valor obtenido</t>
  </si>
  <si>
    <t>Inputs para proyección de presupuestos:</t>
  </si>
  <si>
    <t>Acciones generales</t>
  </si>
  <si>
    <t>Crecimiento especial de mercados</t>
  </si>
  <si>
    <t>Fam y press trips</t>
  </si>
  <si>
    <t>Suma de 2023</t>
  </si>
  <si>
    <t>Suma de 2024</t>
  </si>
  <si>
    <t>Suma de 2025</t>
  </si>
  <si>
    <t>Suma de 2026</t>
  </si>
  <si>
    <t>1USD = 850 CLP</t>
  </si>
  <si>
    <t>Tabla dinámica presupuestos (CLP)</t>
  </si>
  <si>
    <t>Tabla dinámica presupuestos (USD)</t>
  </si>
  <si>
    <t>CAGR 24-26</t>
  </si>
  <si>
    <t>CAGR 23-26</t>
  </si>
  <si>
    <t>Metas para el presupuesto de inversión por mercados por año (USD, 2023-2028)</t>
  </si>
  <si>
    <t>Metas para el ROI por mercado por año (2023-2028)</t>
  </si>
  <si>
    <t>TOTAL GENERAL</t>
  </si>
  <si>
    <t>Metas para el ingreso de divisas por mercados por año (USD, 2023-2028)</t>
  </si>
  <si>
    <t>TOTAL FOCO</t>
  </si>
  <si>
    <t>OTROS MERCADOS</t>
  </si>
  <si>
    <t>Ingreso de divisas USD</t>
  </si>
  <si>
    <t>ROI</t>
  </si>
  <si>
    <t>% cumplimento</t>
  </si>
  <si>
    <t>Se presentan proyecciones de 2023 a 2028 por mercados para los siguientes indicadores: llegadas, ROI, presupuesto de inversión y ingreso de divisas</t>
  </si>
  <si>
    <t>En esta pestaña se presentan los inputs, assumptions y cálculos requeridos para elavorar y comprender las proyecciones</t>
  </si>
  <si>
    <t>En esta pestaña se presentan separadamente las proyecciones de presupuestos de inversión por mercados e acciones de 2023 a 2026</t>
  </si>
  <si>
    <t>En esta pestaña se presenta una tabla dinámica con los valores agregados de presupuestos de inversión por mercados (en CLP y su conversión a USD)</t>
  </si>
  <si>
    <t>Aumento en captación de congresos, reuniones corporativas, incentivos, ferias y eventos internacionales organizados en Chile.</t>
  </si>
  <si>
    <t>Hoja 1</t>
  </si>
  <si>
    <t>Hoja 2</t>
  </si>
  <si>
    <t>Hoja 3</t>
  </si>
  <si>
    <t>Hoja 4</t>
  </si>
  <si>
    <t>Hoja 5</t>
  </si>
  <si>
    <t>Hoja 6</t>
  </si>
  <si>
    <t>Hoja 7</t>
  </si>
  <si>
    <t>Anexo KPIs recomendados</t>
  </si>
  <si>
    <t>Inpus &amp; assumptions</t>
  </si>
  <si>
    <t>Proyección presupuesto desglosado</t>
  </si>
  <si>
    <t>Tabla dinámica presupuesto</t>
  </si>
  <si>
    <t>Metodología</t>
  </si>
  <si>
    <t xml:space="preserve">Presupuesto </t>
  </si>
  <si>
    <t>Divisas</t>
  </si>
  <si>
    <t>Ver más detalle en las hojas de Inputs &amp; assumptions y Proyecciones.</t>
  </si>
  <si>
    <t>Ver más detalle en las hojas de Proyecciones, Proyección presup. Desglosado y Tabla dinámica presupuestos.</t>
  </si>
  <si>
    <t xml:space="preserve">ROI </t>
  </si>
  <si>
    <t>La proyección del ROI para el 2023 se basa en el mínimo de los años 2017 a 2022, sin considerar 2020 y 2021 por sus resultados atípicos. El objetivo para el 2028 es alcanzar el promedio entre los años 2017 y 2022. Para algunos mercados europeos, el ROI se mantiene constante durante los cinco años. Esto se debe a que estos mercados tendrán una inversión elevada y se asume que el aumento de llegadas e ingreso de divisas será proporcional al del presupuesto. Por esta razón, el ROI se mantiene constante sin crecimiento anual.</t>
  </si>
  <si>
    <t>Inversión total levantada entre los fondos públicos y privados nacionales para la ejecución del Plan de Marketing Turístico Internacional</t>
  </si>
  <si>
    <t>Incremento de reservas o negocio generado por parte de las empresas turísticas del sector privado chileno que participan en la feria junto al sector público</t>
  </si>
  <si>
    <t xml:space="preserve">Si el cumplimiento de un indicador es menor al 60%, aparecerá en rojo. Si el cumplimiento se sitúa entre el 60% y el 85%, aparecerá en amarillo. Por último, si el cumplimiento del indicador supera el 85%, aparecerá en verde, </t>
  </si>
  <si>
    <t>Leyenda % cumplimiento:</t>
  </si>
  <si>
    <t>0%-59%</t>
  </si>
  <si>
    <t>60%-84%</t>
  </si>
  <si>
    <t>85%+</t>
  </si>
  <si>
    <t>Los indicadores tienen cada año con una meta definida que se espera alcanzar o superar. La meta esperada proviene de las proyecciones realizadas de llegadas, presupuestos, ingresos de divisas y ROI.</t>
  </si>
  <si>
    <t xml:space="preserve">La fórmula del % de cumplimiento ya está introducida. El resultado del porcentaje de cumplimiento se presenta en forma de colores: rojo, amarillo y verde. </t>
  </si>
  <si>
    <t>La meta lograda es la que se debe rellenar una vez se obtienen los datos a principios del año siguiente. Los datos a introducir tienen que introducirse en la misma unidad para poder medir correctamente el % de cumplimiento.</t>
  </si>
  <si>
    <r>
      <rPr>
        <i/>
        <sz val="11"/>
        <color theme="1"/>
        <rFont val="Calibri"/>
        <family val="2"/>
        <scheme val="minor"/>
      </rPr>
      <t>Meta esperada</t>
    </r>
    <r>
      <rPr>
        <sz val="11"/>
        <color theme="1"/>
        <rFont val="Calibri"/>
        <family val="2"/>
        <scheme val="minor"/>
      </rPr>
      <t xml:space="preserve">: </t>
    </r>
  </si>
  <si>
    <r>
      <rPr>
        <i/>
        <sz val="11"/>
        <color theme="1"/>
        <rFont val="Calibri"/>
        <family val="2"/>
        <scheme val="minor"/>
      </rPr>
      <t>Meta lograda</t>
    </r>
    <r>
      <rPr>
        <sz val="11"/>
        <color theme="1"/>
        <rFont val="Calibri"/>
        <family val="2"/>
        <scheme val="minor"/>
      </rPr>
      <t xml:space="preserve">: </t>
    </r>
  </si>
  <si>
    <t>Input a completar en la tabla por parte de SERNATUR cuando corresponda</t>
  </si>
  <si>
    <t>Valor que proviene de las proyecciones. No editar en esta Hoja</t>
  </si>
  <si>
    <t>Incremento en la captación de congresos y reuniones estratégicas</t>
  </si>
  <si>
    <t>Aumento en la captación de congresos y reuniones estratégicas para el mercado chileno.</t>
  </si>
  <si>
    <t>Incremento en el número de eventos MICE en Chile</t>
  </si>
  <si>
    <t>Metas 2023</t>
  </si>
  <si>
    <t>Metas 2024</t>
  </si>
  <si>
    <t>Metas 2025</t>
  </si>
  <si>
    <t>Metas 2026</t>
  </si>
  <si>
    <t>Metas 2027</t>
  </si>
  <si>
    <t>4.3) Medir la efectividad en la inversión de los recursos del Estado.</t>
  </si>
  <si>
    <t>KPIs para medir la efectividad en la inversión de los recursos del Estado</t>
  </si>
  <si>
    <t>La metodología para medir la efectividad en la inversión de los recursos del Estado incluye la definición de metas de llegadas, presupuestos, ingreso de divisas y ROI para cada mercado 90º y 360º de 2023 a 2027. En el caso de los mercados limítrofes, solo se realiza la proyección de llegadas.</t>
  </si>
  <si>
    <t>Las metas 2023-2028 definidas por mercados para estos cuatro KPIs se presentan en una tabla en la Hoja: KPIs de efectividad. En la Hoja se detalla cómo SERNATUR puede usar la tabla para medir la efectividad en la inversión de los recursos del Estado a través del % de cumplimiento de cada meta.</t>
  </si>
  <si>
    <t>Por último, se incluye un anexo con una serie de KPIs recomendados para medir la efectividad en la inversión para acciones concretas propuestas en el Plan de Acción.</t>
  </si>
  <si>
    <t>En la siguiente tabla se presenta las metas por mercados de los KPIs clave para medir la efectividad en la inversión de los recursos del Estado.</t>
  </si>
  <si>
    <t>KPIs recomendados para la medición de la efectividad en la inversión por tipo de acción</t>
  </si>
  <si>
    <t>Informe de efectividad</t>
  </si>
  <si>
    <t>El objetivo de este documento es medir la efectividad en la inversión de los recursos del Estado. Para medir la efectividad se hace uso de indicadores clave de rendimiento (KPIs) que incluyen las llegadas, presupuestos, divisas y ROI, además de los KPIs de efectividad para las diversas acciones mencionadas en el Plan de Acción.</t>
  </si>
  <si>
    <t>La proyección de llegadas para el 2023 se estima en llegar a la mitad del "gap" existente entre las llegadas del último trimestre de 2022 y las de 2018. Para el 2024, el objetivo es recuperar los niveles de llegadas de 2018 y, a partir de 2025, se aplica el CARG histórico de 2015-2019. Para los mercados limítrofes, según los casos, se aplica un "tope" de llegadas.</t>
  </si>
  <si>
    <t>La proyección de presupuestos se basa en la evolución histórica del presupuesto y en inputs proporcionados por SERNATUR. Los presupuestos de cada mercado están en línea con las acciones propuestas en el Plan de Acción del PMTI. En los presupuestos, se marca un crecimiento total del 10% para 2024-2025 y del 15% para 2025-2026. Se verifica que el total final se alinee con esta meta definida. Cada acción definida tiene un crecimiento distinto según el tipo, de acuerdo a la estrategia del PMTI. En general, se aplica un crecimiento del 3%, y un crecimiento más notable para fam y press trips.</t>
  </si>
  <si>
    <t>Específicas</t>
  </si>
  <si>
    <t>2023</t>
  </si>
  <si>
    <t>2024</t>
  </si>
  <si>
    <t>2025</t>
  </si>
  <si>
    <t>2026</t>
  </si>
  <si>
    <t>Factores de ajuste de efectividad de inversión</t>
  </si>
  <si>
    <t>Ajustes Alemania</t>
  </si>
  <si>
    <t xml:space="preserve">Ajustes Australia </t>
  </si>
  <si>
    <t>Ajustes Colombia</t>
  </si>
  <si>
    <t>Ajustes EEUU</t>
  </si>
  <si>
    <t>Ajustes Francia</t>
  </si>
  <si>
    <t>La proyección para el ingreso de divisas se ha calculado mediante la multiplicación del ROI por la inversión en ese mercado. Se estima que todos los mercados deben alcanzar los niveles de ingreso de divisas más altos, registrados en 2018. Para algunos mercados se aplica un factor de ajuste de la efectividad de la inversión, que hace que el ingreso de divisas no sea estrictamente proporcional al aumento de la inversión para ese mercado. Paralelamente, se elabora una proyección orgánica del ingreso de divisas totales. Ésta se calcula en base al ingreso de divisas totales en 2019 y se aplica un CAGR anual a partir de 2023. Este CAGR corresponde al ingreso de divisas totales de 2014 a 2019. El ingreso de divisas desde otros mercados es el diferencial entre el ingreso total y la suma de las divisas desde los mercados de interés.</t>
  </si>
  <si>
    <t>Crecimiento total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</si>
</sst>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 #,##0_-;_-* &quot;-&quot;??_-;_-@_-"/>
    <numFmt numFmtId="165" formatCode="#,##0_ ;\-#,##0\ "/>
    <numFmt numFmtId="166" formatCode="0.0%"/>
    <numFmt numFmtId="167" formatCode="_-[$$-540A]* #,##0_ ;_-[$$-540A]* \-#,##0\ ;_-[$$-540A]* &quot;-&quot;??_ ;_-@_ "/>
    <numFmt numFmtId="168" formatCode="0.0"/>
    <numFmt numFmtId="169" formatCode="_-* #,##0_-;\-* #,##0_-;_-* &quot;0&quot;_-;_-@_-"/>
    <numFmt numFmtId="170" formatCode="_ * #,##0_ ;_ * \-#,##0_ ;_ * &quot;-&quot;_ ;_ @_ "/>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1"/>
      <color rgb="FFFFFFFF"/>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4"/>
      <color theme="1"/>
      <name val="Calibri"/>
      <family val="2"/>
      <scheme val="minor"/>
    </font>
    <font>
      <i/>
      <sz val="12"/>
      <color theme="1"/>
      <name val="Calibri"/>
      <family val="2"/>
      <scheme val="minor"/>
    </font>
    <font>
      <b/>
      <sz val="24"/>
      <color theme="1"/>
      <name val="Calibri"/>
      <family val="2"/>
      <scheme val="minor"/>
    </font>
    <font>
      <sz val="10"/>
      <color theme="1"/>
      <name val="Calibri"/>
      <family val="2"/>
      <scheme val="minor"/>
    </font>
    <font>
      <sz val="11"/>
      <color theme="5"/>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
      <sz val="11"/>
      <color theme="1"/>
      <name val="Calibri"/>
      <family val="2"/>
    </font>
    <font>
      <sz val="8"/>
      <name val="Calibri"/>
      <family val="2"/>
      <scheme val="minor"/>
    </font>
    <font>
      <sz val="10"/>
      <name val="Arial"/>
      <family val="2"/>
    </font>
    <font>
      <sz val="11"/>
      <color rgb="FF000000"/>
      <name val="Calibri"/>
      <family val="2"/>
      <scheme val="minor"/>
    </font>
    <font>
      <b/>
      <sz val="11"/>
      <color rgb="FF0070C0"/>
      <name val="Calibri"/>
      <family val="2"/>
      <scheme val="minor"/>
    </font>
    <font>
      <sz val="11"/>
      <name val="Calibri"/>
      <family val="2"/>
    </font>
    <font>
      <u/>
      <sz val="11"/>
      <color theme="10"/>
      <name val="Calibri"/>
      <family val="2"/>
      <scheme val="minor"/>
    </font>
    <font>
      <sz val="12"/>
      <color theme="1"/>
      <name val="Calibri"/>
      <family val="2"/>
      <scheme val="minor"/>
    </font>
    <font>
      <b/>
      <u/>
      <sz val="12"/>
      <name val="Calibri"/>
      <family val="2"/>
      <scheme val="minor"/>
    </font>
    <font>
      <b/>
      <sz val="12"/>
      <name val="Calibri"/>
      <family val="2"/>
      <scheme val="minor"/>
    </font>
    <font>
      <b/>
      <sz val="14"/>
      <color rgb="FF000000"/>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0"/>
      <color theme="1"/>
      <name val="Calibri"/>
      <family val="2"/>
      <scheme val="minor"/>
    </font>
    <font>
      <sz val="11"/>
      <color theme="5" tint="-0.249977111117893"/>
      <name val="Calibri"/>
      <family val="2"/>
      <scheme val="minor"/>
    </font>
  </fonts>
  <fills count="29">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79998168889431442"/>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8"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0"/>
        <bgColor indexed="64"/>
      </patternFill>
    </fill>
    <fill>
      <patternFill patternType="solid">
        <fgColor rgb="FFFDD7D7"/>
        <bgColor indexed="64"/>
      </patternFill>
    </fill>
    <fill>
      <patternFill patternType="solid">
        <fgColor rgb="FFFDD7D7"/>
        <bgColor rgb="FF000000"/>
      </patternFill>
    </fill>
    <fill>
      <patternFill patternType="solid">
        <fgColor rgb="FFD1D8E1"/>
        <bgColor indexed="64"/>
      </patternFill>
    </fill>
    <fill>
      <patternFill patternType="solid">
        <fgColor rgb="FFD1D8E1"/>
        <bgColor rgb="FF000000"/>
      </patternFill>
    </fill>
    <fill>
      <patternFill patternType="solid">
        <fgColor rgb="FFF2DEFE"/>
        <bgColor indexed="64"/>
      </patternFill>
    </fill>
    <fill>
      <patternFill patternType="solid">
        <fgColor rgb="FFF2DEFE"/>
        <bgColor rgb="FF000000"/>
      </patternFill>
    </fill>
    <fill>
      <patternFill patternType="solid">
        <fgColor rgb="FFCFF5FD"/>
        <bgColor indexed="64"/>
      </patternFill>
    </fill>
    <fill>
      <patternFill patternType="solid">
        <fgColor theme="4"/>
        <bgColor theme="4"/>
      </patternFill>
    </fill>
    <fill>
      <patternFill patternType="solid">
        <fgColor theme="8" tint="-0.499984740745262"/>
        <bgColor indexed="64"/>
      </patternFill>
    </fill>
    <fill>
      <patternFill patternType="solid">
        <fgColor theme="8"/>
        <bgColor indexed="64"/>
      </patternFill>
    </fill>
    <fill>
      <patternFill patternType="solid">
        <fgColor theme="8"/>
        <bgColor rgb="FF000000"/>
      </patternFill>
    </fill>
    <fill>
      <patternFill patternType="solid">
        <fgColor rgb="FFC6EFCE"/>
      </patternFill>
    </fill>
    <fill>
      <patternFill patternType="solid">
        <fgColor rgb="FFFFC7CE"/>
      </patternFill>
    </fill>
    <fill>
      <patternFill patternType="solid">
        <fgColor rgb="FFFFEB9C"/>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top style="medium">
        <color theme="4" tint="-0.249977111117893"/>
      </top>
      <bottom/>
      <diagonal/>
    </border>
    <border>
      <left/>
      <right/>
      <top style="thin">
        <color theme="4" tint="-0.249977111117893"/>
      </top>
      <bottom style="medium">
        <color theme="4" tint="-0.249977111117893"/>
      </bottom>
      <diagonal/>
    </border>
    <border>
      <left/>
      <right/>
      <top/>
      <bottom style="thin">
        <color indexed="64"/>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s>
  <cellStyleXfs count="9">
    <xf numFmtId="0" fontId="0" fillId="0" borderId="0"/>
    <xf numFmtId="9" fontId="1" fillId="0" borderId="0" applyFont="0" applyFill="0" applyBorder="0" applyAlignment="0" applyProtection="0"/>
    <xf numFmtId="0" fontId="21" fillId="0" borderId="0"/>
    <xf numFmtId="170" fontId="1" fillId="0" borderId="0" applyFont="0" applyFill="0" applyBorder="0" applyAlignment="0" applyProtection="0"/>
    <xf numFmtId="0" fontId="25" fillId="0" borderId="0" applyNumberFormat="0" applyFill="0" applyBorder="0" applyAlignment="0" applyProtection="0"/>
    <xf numFmtId="0" fontId="30" fillId="26" borderId="0" applyNumberFormat="0" applyBorder="0" applyAlignment="0" applyProtection="0"/>
    <xf numFmtId="0" fontId="31" fillId="27" borderId="0" applyNumberFormat="0" applyBorder="0" applyAlignment="0" applyProtection="0"/>
    <xf numFmtId="0" fontId="32" fillId="28" borderId="0" applyNumberFormat="0" applyBorder="0" applyAlignment="0" applyProtection="0"/>
    <xf numFmtId="0" fontId="2" fillId="0" borderId="22" applyNumberFormat="0" applyFill="0" applyAlignment="0" applyProtection="0"/>
  </cellStyleXfs>
  <cellXfs count="268">
    <xf numFmtId="0" fontId="0" fillId="0" borderId="0" xfId="0"/>
    <xf numFmtId="0" fontId="3" fillId="0" borderId="0" xfId="0" applyFont="1"/>
    <xf numFmtId="9" fontId="0" fillId="0" borderId="0" xfId="1" applyFont="1"/>
    <xf numFmtId="0" fontId="4" fillId="0" borderId="1" xfId="0" applyFont="1" applyBorder="1" applyAlignment="1">
      <alignment vertical="center"/>
    </xf>
    <xf numFmtId="3" fontId="0" fillId="0" borderId="1" xfId="0" applyNumberFormat="1" applyBorder="1"/>
    <xf numFmtId="0" fontId="0" fillId="0" borderId="1" xfId="0" applyBorder="1"/>
    <xf numFmtId="0" fontId="6" fillId="0" borderId="1" xfId="0" applyFont="1" applyBorder="1"/>
    <xf numFmtId="0" fontId="7" fillId="0" borderId="1" xfId="0" applyFont="1" applyBorder="1"/>
    <xf numFmtId="0" fontId="0" fillId="0" borderId="8" xfId="0" applyBorder="1"/>
    <xf numFmtId="0" fontId="8" fillId="0" borderId="8" xfId="0" applyFont="1" applyBorder="1" applyAlignment="1">
      <alignment horizontal="center" vertical="center"/>
    </xf>
    <xf numFmtId="0" fontId="2" fillId="2" borderId="1" xfId="0" applyFont="1" applyFill="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2" borderId="1" xfId="0" applyFont="1" applyFill="1" applyBorder="1" applyAlignment="1">
      <alignment horizontal="center" vertical="center"/>
    </xf>
    <xf numFmtId="0" fontId="10" fillId="0" borderId="0" xfId="0" applyFont="1"/>
    <xf numFmtId="0" fontId="11" fillId="0" borderId="0" xfId="0" applyFont="1"/>
    <xf numFmtId="0" fontId="12" fillId="0" borderId="0" xfId="0" applyFont="1"/>
    <xf numFmtId="0" fontId="0" fillId="2" borderId="1" xfId="0" applyFill="1" applyBorder="1"/>
    <xf numFmtId="0" fontId="13" fillId="0" borderId="0" xfId="0" applyFont="1"/>
    <xf numFmtId="166" fontId="0" fillId="0" borderId="1" xfId="0" applyNumberFormat="1" applyBorder="1"/>
    <xf numFmtId="166" fontId="14" fillId="0" borderId="1" xfId="0" applyNumberFormat="1" applyFont="1" applyBorder="1"/>
    <xf numFmtId="3" fontId="0" fillId="0" borderId="0" xfId="0" applyNumberFormat="1" applyAlignment="1">
      <alignment horizontal="left"/>
    </xf>
    <xf numFmtId="0" fontId="0" fillId="0" borderId="3" xfId="0" applyBorder="1"/>
    <xf numFmtId="0" fontId="0" fillId="2" borderId="3" xfId="0" applyFill="1" applyBorder="1"/>
    <xf numFmtId="166" fontId="0" fillId="0" borderId="1" xfId="1" applyNumberFormat="1" applyFont="1" applyBorder="1"/>
    <xf numFmtId="0" fontId="0" fillId="2" borderId="1" xfId="0" applyFill="1" applyBorder="1" applyAlignment="1">
      <alignment horizontal="center"/>
    </xf>
    <xf numFmtId="0" fontId="4" fillId="0" borderId="0" xfId="0" applyFont="1"/>
    <xf numFmtId="0" fontId="0" fillId="4" borderId="1" xfId="0" applyFill="1" applyBorder="1"/>
    <xf numFmtId="3" fontId="0" fillId="4" borderId="1" xfId="0" applyNumberFormat="1" applyFill="1" applyBorder="1"/>
    <xf numFmtId="165" fontId="0" fillId="4" borderId="1" xfId="0" applyNumberFormat="1" applyFill="1" applyBorder="1"/>
    <xf numFmtId="166" fontId="0" fillId="4" borderId="1" xfId="1" applyNumberFormat="1" applyFont="1" applyFill="1" applyBorder="1"/>
    <xf numFmtId="0" fontId="7" fillId="0" borderId="0" xfId="0" applyFont="1"/>
    <xf numFmtId="9" fontId="7" fillId="0" borderId="0" xfId="1" applyFont="1"/>
    <xf numFmtId="0" fontId="19" fillId="0" borderId="1" xfId="0" applyFont="1" applyBorder="1"/>
    <xf numFmtId="167" fontId="19" fillId="0" borderId="1" xfId="0" applyNumberFormat="1" applyFont="1" applyBorder="1"/>
    <xf numFmtId="167" fontId="19" fillId="4" borderId="1" xfId="0" applyNumberFormat="1" applyFont="1" applyFill="1" applyBorder="1"/>
    <xf numFmtId="164" fontId="0" fillId="0" borderId="0" xfId="0" applyNumberFormat="1"/>
    <xf numFmtId="0" fontId="18" fillId="0" borderId="0" xfId="0" applyFont="1"/>
    <xf numFmtId="2" fontId="0" fillId="0" borderId="1" xfId="0" applyNumberFormat="1" applyBorder="1"/>
    <xf numFmtId="0" fontId="0" fillId="2" borderId="1" xfId="0" applyFill="1" applyBorder="1" applyAlignment="1">
      <alignment horizontal="left"/>
    </xf>
    <xf numFmtId="3" fontId="0" fillId="0" borderId="0" xfId="0" applyNumberFormat="1"/>
    <xf numFmtId="166" fontId="0" fillId="0" borderId="0" xfId="1" applyNumberFormat="1" applyFont="1" applyBorder="1"/>
    <xf numFmtId="169" fontId="0" fillId="0" borderId="1" xfId="0" applyNumberFormat="1" applyBorder="1"/>
    <xf numFmtId="0" fontId="22" fillId="7" borderId="1" xfId="0" applyFont="1" applyFill="1" applyBorder="1" applyAlignment="1">
      <alignment horizontal="left" vertical="center" wrapText="1"/>
    </xf>
    <xf numFmtId="3" fontId="22" fillId="7" borderId="1" xfId="0" applyNumberFormat="1" applyFont="1" applyFill="1" applyBorder="1"/>
    <xf numFmtId="0" fontId="22" fillId="7" borderId="1" xfId="0" applyFont="1" applyFill="1" applyBorder="1" applyAlignment="1">
      <alignment horizontal="left" vertical="center"/>
    </xf>
    <xf numFmtId="0" fontId="6" fillId="7" borderId="1" xfId="0" applyFont="1" applyFill="1" applyBorder="1"/>
    <xf numFmtId="0" fontId="22" fillId="5" borderId="1" xfId="0" applyFont="1" applyFill="1" applyBorder="1" applyAlignment="1">
      <alignment horizontal="left" vertical="center" wrapText="1"/>
    </xf>
    <xf numFmtId="3" fontId="22" fillId="5" borderId="1" xfId="0" applyNumberFormat="1" applyFont="1" applyFill="1" applyBorder="1"/>
    <xf numFmtId="0" fontId="22" fillId="5" borderId="1" xfId="0" applyFont="1" applyFill="1" applyBorder="1" applyAlignment="1">
      <alignment horizontal="left" vertical="center"/>
    </xf>
    <xf numFmtId="0" fontId="22" fillId="9" borderId="1" xfId="0" applyFont="1" applyFill="1" applyBorder="1" applyAlignment="1">
      <alignment horizontal="left" vertical="center"/>
    </xf>
    <xf numFmtId="3" fontId="22" fillId="9" borderId="1" xfId="0" applyNumberFormat="1" applyFont="1" applyFill="1" applyBorder="1"/>
    <xf numFmtId="0" fontId="6" fillId="9" borderId="1" xfId="0" applyFont="1" applyFill="1" applyBorder="1" applyAlignment="1">
      <alignment horizontal="left" vertical="center"/>
    </xf>
    <xf numFmtId="0" fontId="22" fillId="9"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3" fontId="22" fillId="2" borderId="1" xfId="0" applyNumberFormat="1" applyFont="1" applyFill="1" applyBorder="1"/>
    <xf numFmtId="170" fontId="0" fillId="0" borderId="0" xfId="3" applyFont="1"/>
    <xf numFmtId="0" fontId="22" fillId="2" borderId="1" xfId="0" applyFont="1" applyFill="1" applyBorder="1" applyAlignment="1">
      <alignment horizontal="left" vertical="center"/>
    </xf>
    <xf numFmtId="0" fontId="6" fillId="2" borderId="1" xfId="0" applyFont="1" applyFill="1" applyBorder="1"/>
    <xf numFmtId="0" fontId="6" fillId="2" borderId="1" xfId="0" applyFont="1" applyFill="1" applyBorder="1" applyAlignment="1">
      <alignment horizontal="left" vertical="center"/>
    </xf>
    <xf numFmtId="0" fontId="22" fillId="12" borderId="1" xfId="0" applyFont="1" applyFill="1" applyBorder="1" applyAlignment="1">
      <alignment horizontal="left" vertical="center"/>
    </xf>
    <xf numFmtId="3" fontId="22" fillId="12" borderId="1" xfId="0" applyNumberFormat="1" applyFont="1" applyFill="1" applyBorder="1"/>
    <xf numFmtId="0" fontId="22" fillId="12" borderId="1" xfId="0" applyFont="1" applyFill="1" applyBorder="1" applyAlignment="1">
      <alignment vertical="center"/>
    </xf>
    <xf numFmtId="0" fontId="22" fillId="12" borderId="1" xfId="0" applyFont="1" applyFill="1" applyBorder="1" applyAlignment="1">
      <alignment horizontal="left" vertical="center" wrapText="1"/>
    </xf>
    <xf numFmtId="0" fontId="6" fillId="12" borderId="1" xfId="0" applyFont="1" applyFill="1" applyBorder="1" applyAlignment="1">
      <alignment horizontal="left" vertical="center"/>
    </xf>
    <xf numFmtId="0" fontId="22" fillId="7" borderId="1" xfId="0" applyFont="1" applyFill="1" applyBorder="1" applyAlignment="1">
      <alignment vertical="center"/>
    </xf>
    <xf numFmtId="0" fontId="6" fillId="9" borderId="1" xfId="0" applyFont="1" applyFill="1" applyBorder="1" applyAlignment="1">
      <alignment horizontal="left" vertical="center" wrapText="1"/>
    </xf>
    <xf numFmtId="0" fontId="0" fillId="0" borderId="0" xfId="0" applyAlignment="1">
      <alignment horizontal="left"/>
    </xf>
    <xf numFmtId="10" fontId="0" fillId="0" borderId="0" xfId="1" applyNumberFormat="1" applyFont="1"/>
    <xf numFmtId="9" fontId="23" fillId="0" borderId="0" xfId="0" applyNumberFormat="1" applyFont="1"/>
    <xf numFmtId="0" fontId="23" fillId="0" borderId="0" xfId="0" applyFont="1"/>
    <xf numFmtId="0" fontId="22" fillId="15" borderId="1" xfId="0" applyFont="1" applyFill="1" applyBorder="1" applyAlignment="1">
      <alignment horizontal="left" vertical="center"/>
    </xf>
    <xf numFmtId="3" fontId="22" fillId="15" borderId="1" xfId="0" applyNumberFormat="1" applyFont="1" applyFill="1" applyBorder="1"/>
    <xf numFmtId="0" fontId="22" fillId="15" borderId="1" xfId="0" applyFont="1" applyFill="1" applyBorder="1" applyAlignment="1">
      <alignment vertical="center"/>
    </xf>
    <xf numFmtId="0" fontId="22" fillId="15" borderId="1" xfId="0" applyFont="1" applyFill="1" applyBorder="1" applyAlignment="1">
      <alignment horizontal="left" vertical="center" wrapText="1"/>
    </xf>
    <xf numFmtId="0" fontId="22" fillId="17" borderId="1" xfId="0" applyFont="1" applyFill="1" applyBorder="1" applyAlignment="1">
      <alignment horizontal="left" vertical="center"/>
    </xf>
    <xf numFmtId="3" fontId="22" fillId="17" borderId="1" xfId="0" applyNumberFormat="1" applyFont="1" applyFill="1" applyBorder="1"/>
    <xf numFmtId="0" fontId="6" fillId="17" borderId="1" xfId="0" applyFont="1" applyFill="1" applyBorder="1" applyAlignment="1">
      <alignment horizontal="left" vertical="center"/>
    </xf>
    <xf numFmtId="0" fontId="22" fillId="17" borderId="1" xfId="0" applyFont="1" applyFill="1" applyBorder="1" applyAlignment="1">
      <alignment horizontal="left" vertical="center" wrapText="1"/>
    </xf>
    <xf numFmtId="0" fontId="22" fillId="19" borderId="1" xfId="0" applyFont="1" applyFill="1" applyBorder="1" applyAlignment="1">
      <alignment horizontal="left" vertical="center"/>
    </xf>
    <xf numFmtId="3" fontId="22" fillId="19" borderId="1" xfId="0" applyNumberFormat="1" applyFont="1" applyFill="1" applyBorder="1"/>
    <xf numFmtId="0" fontId="22" fillId="19" borderId="1" xfId="0" applyFont="1" applyFill="1" applyBorder="1" applyAlignment="1">
      <alignment horizontal="left" vertical="center" wrapText="1"/>
    </xf>
    <xf numFmtId="3" fontId="22" fillId="3" borderId="1" xfId="0" applyNumberFormat="1" applyFont="1" applyFill="1" applyBorder="1"/>
    <xf numFmtId="0" fontId="22" fillId="21" borderId="1" xfId="0" applyFont="1" applyFill="1" applyBorder="1" applyAlignment="1">
      <alignment vertical="center"/>
    </xf>
    <xf numFmtId="3" fontId="22" fillId="21" borderId="1" xfId="0" applyNumberFormat="1" applyFont="1" applyFill="1" applyBorder="1"/>
    <xf numFmtId="0" fontId="6" fillId="21" borderId="1" xfId="0" applyFont="1" applyFill="1" applyBorder="1"/>
    <xf numFmtId="0" fontId="22" fillId="21" borderId="1" xfId="0" applyFont="1" applyFill="1" applyBorder="1" applyAlignment="1">
      <alignment horizontal="left" vertical="center" wrapText="1"/>
    </xf>
    <xf numFmtId="0" fontId="0" fillId="0" borderId="1" xfId="0" applyBorder="1" applyAlignment="1">
      <alignment horizontal="left"/>
    </xf>
    <xf numFmtId="0" fontId="6" fillId="7" borderId="1" xfId="0" applyFont="1" applyFill="1" applyBorder="1" applyAlignment="1">
      <alignment horizontal="center"/>
    </xf>
    <xf numFmtId="9" fontId="6" fillId="7" borderId="1" xfId="1" applyFont="1" applyFill="1" applyBorder="1" applyAlignment="1">
      <alignment horizontal="center"/>
    </xf>
    <xf numFmtId="0" fontId="0" fillId="7" borderId="1" xfId="0" applyFill="1" applyBorder="1"/>
    <xf numFmtId="3" fontId="0" fillId="7" borderId="1" xfId="0" applyNumberFormat="1" applyFill="1" applyBorder="1" applyAlignment="1">
      <alignment horizontal="center"/>
    </xf>
    <xf numFmtId="0" fontId="0" fillId="7" borderId="1" xfId="0" applyFill="1" applyBorder="1" applyAlignment="1">
      <alignment horizontal="left"/>
    </xf>
    <xf numFmtId="0" fontId="6" fillId="7" borderId="1" xfId="0" applyFont="1" applyFill="1" applyBorder="1" applyAlignment="1">
      <alignment horizontal="left"/>
    </xf>
    <xf numFmtId="0" fontId="2" fillId="7" borderId="1" xfId="0" applyFont="1" applyFill="1" applyBorder="1" applyAlignment="1">
      <alignment horizontal="left"/>
    </xf>
    <xf numFmtId="0" fontId="2" fillId="0" borderId="0" xfId="0" applyFont="1" applyAlignment="1">
      <alignment horizontal="left"/>
    </xf>
    <xf numFmtId="9" fontId="23" fillId="9" borderId="1" xfId="0" applyNumberFormat="1" applyFont="1" applyFill="1" applyBorder="1"/>
    <xf numFmtId="166" fontId="23" fillId="9" borderId="1" xfId="0" applyNumberFormat="1" applyFont="1" applyFill="1" applyBorder="1"/>
    <xf numFmtId="0" fontId="2" fillId="0" borderId="1" xfId="0" applyFont="1" applyBorder="1" applyAlignment="1">
      <alignment horizontal="center"/>
    </xf>
    <xf numFmtId="0" fontId="0" fillId="0" borderId="0" xfId="0" pivotButton="1"/>
    <xf numFmtId="0" fontId="17" fillId="22" borderId="9" xfId="0" applyFont="1" applyFill="1" applyBorder="1"/>
    <xf numFmtId="0" fontId="17" fillId="22" borderId="0" xfId="0" applyFont="1" applyFill="1"/>
    <xf numFmtId="0" fontId="2" fillId="0" borderId="10" xfId="0" applyFont="1" applyBorder="1" applyAlignment="1">
      <alignment horizontal="left"/>
    </xf>
    <xf numFmtId="3" fontId="2" fillId="0" borderId="10" xfId="0" applyNumberFormat="1" applyFont="1" applyBorder="1"/>
    <xf numFmtId="0" fontId="0" fillId="14" borderId="0" xfId="0" applyFill="1" applyAlignment="1">
      <alignment horizontal="left"/>
    </xf>
    <xf numFmtId="3" fontId="0" fillId="14" borderId="0" xfId="0" applyNumberFormat="1" applyFill="1"/>
    <xf numFmtId="166" fontId="0" fillId="14" borderId="0" xfId="1" applyNumberFormat="1" applyFont="1" applyFill="1"/>
    <xf numFmtId="9" fontId="2" fillId="0" borderId="10" xfId="1" applyFont="1" applyBorder="1"/>
    <xf numFmtId="166" fontId="2" fillId="0" borderId="10" xfId="1" applyNumberFormat="1" applyFont="1" applyBorder="1"/>
    <xf numFmtId="166" fontId="0" fillId="9" borderId="0" xfId="1" applyNumberFormat="1" applyFont="1" applyFill="1"/>
    <xf numFmtId="0" fontId="17" fillId="22" borderId="9" xfId="0" applyFont="1" applyFill="1" applyBorder="1" applyAlignment="1">
      <alignment horizontal="center"/>
    </xf>
    <xf numFmtId="166" fontId="0" fillId="0" borderId="0" xfId="1" applyNumberFormat="1" applyFont="1" applyFill="1"/>
    <xf numFmtId="0" fontId="18" fillId="23" borderId="0" xfId="0" applyFont="1" applyFill="1"/>
    <xf numFmtId="0" fontId="17" fillId="24" borderId="1" xfId="0" applyFont="1" applyFill="1" applyBorder="1" applyAlignment="1">
      <alignment horizontal="center"/>
    </xf>
    <xf numFmtId="9" fontId="17" fillId="24" borderId="3" xfId="1" applyFont="1" applyFill="1" applyBorder="1" applyAlignment="1">
      <alignment horizontal="center"/>
    </xf>
    <xf numFmtId="0" fontId="5" fillId="25" borderId="6" xfId="0" applyFont="1" applyFill="1" applyBorder="1" applyAlignment="1">
      <alignment horizontal="center" vertical="center"/>
    </xf>
    <xf numFmtId="0" fontId="5" fillId="25" borderId="7" xfId="0" applyFont="1" applyFill="1" applyBorder="1" applyAlignment="1">
      <alignment horizontal="center" vertical="center"/>
    </xf>
    <xf numFmtId="0" fontId="19" fillId="0" borderId="0" xfId="0" applyFont="1"/>
    <xf numFmtId="168" fontId="0" fillId="0" borderId="0" xfId="0" applyNumberFormat="1"/>
    <xf numFmtId="166" fontId="0" fillId="0" borderId="0" xfId="1" applyNumberFormat="1" applyFont="1" applyFill="1" applyBorder="1"/>
    <xf numFmtId="0" fontId="19" fillId="0" borderId="11" xfId="0" applyFont="1" applyBorder="1"/>
    <xf numFmtId="168" fontId="0" fillId="0" borderId="11" xfId="0" applyNumberFormat="1" applyBorder="1"/>
    <xf numFmtId="166" fontId="0" fillId="0" borderId="11" xfId="1" applyNumberFormat="1" applyFont="1" applyFill="1" applyBorder="1"/>
    <xf numFmtId="167" fontId="19" fillId="0" borderId="0" xfId="0" applyNumberFormat="1" applyFont="1"/>
    <xf numFmtId="0" fontId="18" fillId="23" borderId="0" xfId="0" applyFont="1" applyFill="1" applyAlignment="1">
      <alignment horizontal="right"/>
    </xf>
    <xf numFmtId="0" fontId="0" fillId="2" borderId="0" xfId="0" applyFill="1"/>
    <xf numFmtId="167" fontId="0" fillId="0" borderId="0" xfId="0" applyNumberFormat="1"/>
    <xf numFmtId="0" fontId="7" fillId="2" borderId="0" xfId="0" applyFont="1" applyFill="1"/>
    <xf numFmtId="3" fontId="7" fillId="2" borderId="0" xfId="0" applyNumberFormat="1" applyFont="1" applyFill="1"/>
    <xf numFmtId="166" fontId="7" fillId="2" borderId="0" xfId="1" applyNumberFormat="1" applyFont="1" applyFill="1" applyBorder="1"/>
    <xf numFmtId="167" fontId="24" fillId="2" borderId="0" xfId="0" applyNumberFormat="1" applyFont="1" applyFill="1"/>
    <xf numFmtId="167" fontId="0" fillId="2" borderId="0" xfId="0" applyNumberFormat="1" applyFill="1"/>
    <xf numFmtId="166" fontId="0" fillId="2" borderId="0" xfId="1" applyNumberFormat="1" applyFont="1" applyFill="1" applyBorder="1"/>
    <xf numFmtId="167" fontId="7" fillId="2" borderId="0" xfId="0" applyNumberFormat="1" applyFont="1" applyFill="1"/>
    <xf numFmtId="168" fontId="0" fillId="0" borderId="12" xfId="0" applyNumberFormat="1" applyBorder="1"/>
    <xf numFmtId="168" fontId="0" fillId="0" borderId="12" xfId="0" applyNumberFormat="1" applyBorder="1" applyAlignment="1">
      <alignment horizontal="right"/>
    </xf>
    <xf numFmtId="168" fontId="0" fillId="0" borderId="13" xfId="0" applyNumberFormat="1" applyBorder="1"/>
    <xf numFmtId="167" fontId="19" fillId="0" borderId="12" xfId="0" applyNumberFormat="1" applyFont="1" applyBorder="1"/>
    <xf numFmtId="167" fontId="24" fillId="2" borderId="12" xfId="0" applyNumberFormat="1" applyFont="1" applyFill="1" applyBorder="1"/>
    <xf numFmtId="167" fontId="0" fillId="0" borderId="12" xfId="0" applyNumberFormat="1" applyBorder="1"/>
    <xf numFmtId="167" fontId="0" fillId="2" borderId="12" xfId="0" applyNumberFormat="1" applyFill="1" applyBorder="1"/>
    <xf numFmtId="167" fontId="7" fillId="2" borderId="12" xfId="0" applyNumberFormat="1" applyFont="1" applyFill="1" applyBorder="1"/>
    <xf numFmtId="9" fontId="18" fillId="0" borderId="0" xfId="1" applyFont="1"/>
    <xf numFmtId="3" fontId="7" fillId="0" borderId="1" xfId="0" applyNumberFormat="1" applyFont="1" applyBorder="1"/>
    <xf numFmtId="0" fontId="4" fillId="0" borderId="3" xfId="0" applyFont="1" applyBorder="1" applyAlignment="1">
      <alignment vertical="center"/>
    </xf>
    <xf numFmtId="3" fontId="7" fillId="0" borderId="2" xfId="0" applyNumberFormat="1" applyFont="1" applyBorder="1" applyAlignment="1">
      <alignment vertical="center"/>
    </xf>
    <xf numFmtId="3" fontId="7" fillId="0" borderId="1" xfId="0" applyNumberFormat="1" applyFont="1" applyBorder="1" applyAlignment="1">
      <alignment vertical="center"/>
    </xf>
    <xf numFmtId="9" fontId="7" fillId="0" borderId="3" xfId="1" applyFont="1" applyBorder="1" applyAlignment="1">
      <alignment horizontal="center" vertical="center"/>
    </xf>
    <xf numFmtId="0" fontId="7" fillId="0" borderId="1" xfId="0" applyFont="1" applyBorder="1" applyAlignment="1">
      <alignment vertical="center"/>
    </xf>
    <xf numFmtId="9" fontId="7" fillId="0" borderId="1" xfId="1" applyFont="1" applyBorder="1" applyAlignment="1">
      <alignment horizontal="center" vertical="center"/>
    </xf>
    <xf numFmtId="167" fontId="24" fillId="0" borderId="1" xfId="0" applyNumberFormat="1" applyFont="1" applyBorder="1" applyAlignment="1">
      <alignment vertical="center"/>
    </xf>
    <xf numFmtId="168" fontId="7" fillId="0" borderId="1" xfId="0" applyNumberFormat="1" applyFont="1" applyBorder="1" applyAlignment="1">
      <alignment vertical="center"/>
    </xf>
    <xf numFmtId="9" fontId="7" fillId="0" borderId="3" xfId="1" applyFont="1" applyFill="1" applyBorder="1" applyAlignment="1">
      <alignment horizontal="center" vertical="center"/>
    </xf>
    <xf numFmtId="9" fontId="7" fillId="0" borderId="1" xfId="1" applyFont="1" applyFill="1" applyBorder="1" applyAlignment="1">
      <alignment horizontal="center" vertical="center"/>
    </xf>
    <xf numFmtId="3" fontId="7" fillId="0" borderId="14" xfId="0" applyNumberFormat="1" applyFont="1" applyBorder="1"/>
    <xf numFmtId="3" fontId="7" fillId="0" borderId="15" xfId="0" applyNumberFormat="1" applyFont="1" applyBorder="1"/>
    <xf numFmtId="3" fontId="7" fillId="0" borderId="16" xfId="0" applyNumberFormat="1" applyFont="1" applyBorder="1"/>
    <xf numFmtId="3" fontId="7" fillId="0" borderId="17" xfId="0" applyNumberFormat="1" applyFont="1" applyBorder="1"/>
    <xf numFmtId="3" fontId="7" fillId="0" borderId="18" xfId="0" applyNumberFormat="1" applyFont="1" applyBorder="1"/>
    <xf numFmtId="3" fontId="7" fillId="0" borderId="19" xfId="0" applyNumberFormat="1" applyFont="1" applyBorder="1"/>
    <xf numFmtId="3" fontId="7" fillId="0" borderId="20" xfId="0" applyNumberFormat="1" applyFont="1" applyBorder="1"/>
    <xf numFmtId="3" fontId="7" fillId="0" borderId="21" xfId="0" applyNumberFormat="1" applyFont="1" applyBorder="1"/>
    <xf numFmtId="0" fontId="9" fillId="0" borderId="0" xfId="0" applyFont="1"/>
    <xf numFmtId="0" fontId="26" fillId="0" borderId="0" xfId="0" applyFont="1"/>
    <xf numFmtId="0" fontId="27" fillId="0" borderId="0" xfId="4" applyFont="1"/>
    <xf numFmtId="0" fontId="28" fillId="0" borderId="0" xfId="0" applyFont="1"/>
    <xf numFmtId="0" fontId="29" fillId="0" borderId="0" xfId="0" applyFont="1"/>
    <xf numFmtId="0" fontId="0" fillId="0" borderId="0" xfId="0" applyAlignment="1">
      <alignment horizontal="left" vertical="top" wrapText="1"/>
    </xf>
    <xf numFmtId="0" fontId="0" fillId="0" borderId="0" xfId="0" quotePrefix="1" applyAlignment="1">
      <alignment wrapText="1"/>
    </xf>
    <xf numFmtId="0" fontId="0" fillId="0" borderId="0" xfId="0" quotePrefix="1" applyAlignment="1">
      <alignment vertical="center" wrapText="1"/>
    </xf>
    <xf numFmtId="0" fontId="2" fillId="0" borderId="0" xfId="0" quotePrefix="1" applyFont="1" applyAlignment="1">
      <alignment wrapText="1"/>
    </xf>
    <xf numFmtId="0" fontId="4" fillId="0" borderId="0" xfId="0" quotePrefix="1" applyFont="1" applyAlignment="1">
      <alignment wrapText="1"/>
    </xf>
    <xf numFmtId="9" fontId="0" fillId="0" borderId="0" xfId="1" applyFont="1" applyAlignment="1">
      <alignment horizontal="left"/>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9" fontId="31" fillId="27" borderId="0" xfId="6" applyNumberFormat="1"/>
    <xf numFmtId="9" fontId="32" fillId="28" borderId="0" xfId="7" applyNumberFormat="1"/>
    <xf numFmtId="0" fontId="30" fillId="26" borderId="0" xfId="5" applyAlignment="1">
      <alignment wrapText="1"/>
    </xf>
    <xf numFmtId="3" fontId="2" fillId="0" borderId="22" xfId="8" applyNumberFormat="1" applyAlignment="1">
      <alignment vertical="center"/>
    </xf>
    <xf numFmtId="0" fontId="2" fillId="0" borderId="22" xfId="8" applyAlignment="1">
      <alignment vertical="center"/>
    </xf>
    <xf numFmtId="3" fontId="0" fillId="0" borderId="22" xfId="8" applyNumberFormat="1" applyFont="1" applyAlignment="1">
      <alignment vertical="center"/>
    </xf>
    <xf numFmtId="0" fontId="0" fillId="5" borderId="1" xfId="0"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17" borderId="1" xfId="0" applyFill="1" applyBorder="1"/>
    <xf numFmtId="0" fontId="0" fillId="18" borderId="1" xfId="0" applyFill="1" applyBorder="1"/>
    <xf numFmtId="0" fontId="0" fillId="17" borderId="1" xfId="0" applyFill="1" applyBorder="1" applyAlignment="1">
      <alignment wrapText="1"/>
    </xf>
    <xf numFmtId="0" fontId="0" fillId="15" borderId="1" xfId="0" applyFill="1" applyBorder="1"/>
    <xf numFmtId="0" fontId="0" fillId="16" borderId="1" xfId="0" applyFill="1" applyBorder="1"/>
    <xf numFmtId="0" fontId="0" fillId="15" borderId="1" xfId="0" applyFill="1" applyBorder="1" applyAlignment="1">
      <alignment wrapText="1"/>
    </xf>
    <xf numFmtId="0" fontId="0" fillId="19" borderId="1" xfId="0" applyFill="1" applyBorder="1"/>
    <xf numFmtId="0" fontId="0" fillId="20" borderId="1" xfId="0" applyFill="1" applyBorder="1"/>
    <xf numFmtId="0" fontId="0" fillId="19" borderId="1" xfId="0" applyFill="1" applyBorder="1" applyAlignment="1">
      <alignment wrapText="1"/>
    </xf>
    <xf numFmtId="0" fontId="0" fillId="12" borderId="1" xfId="0" applyFill="1" applyBorder="1"/>
    <xf numFmtId="0" fontId="0" fillId="13" borderId="1" xfId="0" applyFill="1" applyBorder="1"/>
    <xf numFmtId="0" fontId="0" fillId="12" borderId="1" xfId="0" applyFill="1" applyBorder="1" applyAlignment="1">
      <alignment wrapText="1"/>
    </xf>
    <xf numFmtId="0" fontId="0" fillId="21" borderId="1" xfId="0" applyFill="1" applyBorder="1"/>
    <xf numFmtId="0" fontId="0" fillId="7" borderId="1" xfId="0" applyFill="1" applyBorder="1" applyAlignment="1">
      <alignment vertical="center"/>
    </xf>
    <xf numFmtId="0" fontId="0" fillId="2" borderId="1" xfId="0" applyFill="1" applyBorder="1" applyAlignment="1">
      <alignment horizontal="left" vertical="center" wrapText="1"/>
    </xf>
    <xf numFmtId="0" fontId="6" fillId="21" borderId="1" xfId="0" applyFont="1" applyFill="1" applyBorder="1" applyAlignment="1">
      <alignment vertical="center"/>
    </xf>
    <xf numFmtId="3" fontId="6" fillId="21" borderId="1" xfId="0" applyNumberFormat="1" applyFont="1" applyFill="1" applyBorder="1"/>
    <xf numFmtId="0" fontId="22" fillId="7" borderId="23" xfId="0" applyFont="1" applyFill="1" applyBorder="1"/>
    <xf numFmtId="0" fontId="6" fillId="5" borderId="23" xfId="0" applyFont="1" applyFill="1" applyBorder="1"/>
    <xf numFmtId="0" fontId="22" fillId="9" borderId="23" xfId="0" applyFont="1" applyFill="1" applyBorder="1"/>
    <xf numFmtId="0" fontId="6" fillId="9" borderId="23" xfId="0" applyFont="1" applyFill="1" applyBorder="1"/>
    <xf numFmtId="0" fontId="22" fillId="2" borderId="23" xfId="0" applyFont="1" applyFill="1" applyBorder="1"/>
    <xf numFmtId="0" fontId="6" fillId="2" borderId="23" xfId="0" applyFont="1" applyFill="1" applyBorder="1"/>
    <xf numFmtId="0" fontId="22" fillId="17" borderId="23" xfId="0" applyFont="1" applyFill="1" applyBorder="1"/>
    <xf numFmtId="0" fontId="6" fillId="17" borderId="23" xfId="0" applyFont="1" applyFill="1" applyBorder="1"/>
    <xf numFmtId="0" fontId="22" fillId="15" borderId="23" xfId="0" applyFont="1" applyFill="1" applyBorder="1"/>
    <xf numFmtId="0" fontId="6" fillId="19" borderId="23" xfId="0" applyFont="1" applyFill="1" applyBorder="1"/>
    <xf numFmtId="0" fontId="22" fillId="12" borderId="23" xfId="0" applyFont="1" applyFill="1" applyBorder="1"/>
    <xf numFmtId="0" fontId="6" fillId="12" borderId="23" xfId="0" applyFont="1" applyFill="1" applyBorder="1"/>
    <xf numFmtId="0" fontId="22" fillId="21" borderId="23" xfId="0" applyFont="1" applyFill="1" applyBorder="1"/>
    <xf numFmtId="0" fontId="6" fillId="21" borderId="23" xfId="0" applyFont="1" applyFill="1" applyBorder="1"/>
    <xf numFmtId="3" fontId="22" fillId="7" borderId="3" xfId="0" applyNumberFormat="1" applyFont="1" applyFill="1" applyBorder="1"/>
    <xf numFmtId="3" fontId="22" fillId="5" borderId="3" xfId="0" applyNumberFormat="1" applyFont="1" applyFill="1" applyBorder="1"/>
    <xf numFmtId="3" fontId="22" fillId="9" borderId="3" xfId="0" applyNumberFormat="1" applyFont="1" applyFill="1" applyBorder="1"/>
    <xf numFmtId="3" fontId="22" fillId="2" borderId="3" xfId="0" applyNumberFormat="1" applyFont="1" applyFill="1" applyBorder="1"/>
    <xf numFmtId="3" fontId="22" fillId="17" borderId="3" xfId="0" applyNumberFormat="1" applyFont="1" applyFill="1" applyBorder="1"/>
    <xf numFmtId="3" fontId="22" fillId="15" borderId="3" xfId="0" applyNumberFormat="1" applyFont="1" applyFill="1" applyBorder="1"/>
    <xf numFmtId="3" fontId="22" fillId="19" borderId="3" xfId="0" applyNumberFormat="1" applyFont="1" applyFill="1" applyBorder="1"/>
    <xf numFmtId="3" fontId="22" fillId="3" borderId="3" xfId="0" applyNumberFormat="1" applyFont="1" applyFill="1" applyBorder="1"/>
    <xf numFmtId="3" fontId="22" fillId="21" borderId="3" xfId="0" applyNumberFormat="1" applyFont="1" applyFill="1" applyBorder="1"/>
    <xf numFmtId="3" fontId="6" fillId="21" borderId="3" xfId="0" applyNumberFormat="1" applyFont="1" applyFill="1" applyBorder="1"/>
    <xf numFmtId="0" fontId="6" fillId="6" borderId="24" xfId="0" applyFont="1" applyFill="1" applyBorder="1"/>
    <xf numFmtId="0" fontId="22" fillId="6" borderId="5" xfId="0" applyFont="1" applyFill="1" applyBorder="1" applyAlignment="1">
      <alignment horizontal="left" vertical="center"/>
    </xf>
    <xf numFmtId="0" fontId="22" fillId="6" borderId="5" xfId="0" applyFont="1" applyFill="1" applyBorder="1"/>
    <xf numFmtId="0" fontId="22" fillId="6" borderId="5" xfId="0" applyFont="1" applyFill="1" applyBorder="1" applyAlignment="1">
      <alignment horizontal="center"/>
    </xf>
    <xf numFmtId="0" fontId="22" fillId="6" borderId="25" xfId="0" applyFont="1" applyFill="1" applyBorder="1" applyAlignment="1">
      <alignment horizontal="center"/>
    </xf>
    <xf numFmtId="0" fontId="6" fillId="2" borderId="26" xfId="0" applyFont="1" applyFill="1" applyBorder="1"/>
    <xf numFmtId="0" fontId="6" fillId="2" borderId="2" xfId="0" applyFont="1" applyFill="1" applyBorder="1"/>
    <xf numFmtId="0" fontId="0" fillId="2" borderId="2" xfId="0" applyFill="1" applyBorder="1" applyAlignment="1">
      <alignment horizontal="left" vertical="center" wrapText="1"/>
    </xf>
    <xf numFmtId="3" fontId="22" fillId="2" borderId="2" xfId="0" applyNumberFormat="1" applyFont="1" applyFill="1" applyBorder="1"/>
    <xf numFmtId="3" fontId="22" fillId="2" borderId="27" xfId="0" applyNumberFormat="1" applyFont="1" applyFill="1" applyBorder="1"/>
    <xf numFmtId="0" fontId="13" fillId="12" borderId="0" xfId="0" applyFont="1" applyFill="1"/>
    <xf numFmtId="167" fontId="34" fillId="0" borderId="0" xfId="0" applyNumberFormat="1" applyFont="1"/>
    <xf numFmtId="167" fontId="34" fillId="0" borderId="12" xfId="0" applyNumberFormat="1" applyFont="1" applyBorder="1"/>
    <xf numFmtId="167" fontId="34" fillId="9" borderId="0" xfId="0" applyNumberFormat="1" applyFont="1" applyFill="1"/>
    <xf numFmtId="0" fontId="18" fillId="23" borderId="28" xfId="0" applyFont="1" applyFill="1" applyBorder="1"/>
    <xf numFmtId="0" fontId="18" fillId="23" borderId="29" xfId="0" applyFont="1" applyFill="1" applyBorder="1" applyAlignment="1">
      <alignment horizontal="center"/>
    </xf>
    <xf numFmtId="0" fontId="18" fillId="23" borderId="30" xfId="0" applyFont="1" applyFill="1" applyBorder="1" applyAlignment="1">
      <alignment horizontal="center"/>
    </xf>
    <xf numFmtId="167" fontId="34" fillId="9" borderId="12" xfId="0" applyNumberFormat="1" applyFont="1" applyFill="1" applyBorder="1"/>
    <xf numFmtId="167" fontId="0" fillId="9" borderId="0" xfId="0" applyNumberFormat="1" applyFill="1"/>
    <xf numFmtId="0" fontId="0" fillId="0" borderId="0" xfId="0" applyAlignment="1">
      <alignment horizontal="left" wrapText="1"/>
    </xf>
    <xf numFmtId="0" fontId="2" fillId="2" borderId="1" xfId="0" applyFont="1" applyFill="1" applyBorder="1" applyAlignment="1">
      <alignment horizontal="center" vertical="center"/>
    </xf>
    <xf numFmtId="0" fontId="17" fillId="24" borderId="1" xfId="0" applyFont="1" applyFill="1" applyBorder="1" applyAlignment="1">
      <alignment horizont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17" fillId="24" borderId="3" xfId="0" applyFont="1" applyFill="1" applyBorder="1" applyAlignment="1">
      <alignment horizontal="center"/>
    </xf>
    <xf numFmtId="0" fontId="17" fillId="24" borderId="4" xfId="0" applyFont="1" applyFill="1" applyBorder="1" applyAlignment="1">
      <alignment horizontal="center"/>
    </xf>
    <xf numFmtId="0" fontId="17" fillId="24" borderId="1" xfId="0" applyFont="1" applyFill="1" applyBorder="1" applyAlignment="1">
      <alignment horizontal="center" vertical="center"/>
    </xf>
    <xf numFmtId="0" fontId="17" fillId="24" borderId="2" xfId="0" applyFont="1" applyFill="1" applyBorder="1" applyAlignment="1">
      <alignment horizontal="center" vertical="center"/>
    </xf>
    <xf numFmtId="0" fontId="17" fillId="24" borderId="5" xfId="0" applyFont="1" applyFill="1" applyBorder="1" applyAlignment="1">
      <alignment horizontal="center" vertical="center"/>
    </xf>
    <xf numFmtId="0" fontId="9"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33" fillId="12" borderId="0" xfId="0" applyFont="1" applyFill="1" applyAlignment="1">
      <alignment horizontal="center" vertical="center" wrapText="1"/>
    </xf>
  </cellXfs>
  <cellStyles count="9">
    <cellStyle name="Bueno" xfId="5" builtinId="26"/>
    <cellStyle name="Hipervínculo" xfId="4" builtinId="8"/>
    <cellStyle name="Incorrecto" xfId="6" builtinId="27"/>
    <cellStyle name="Millares [0] 2" xfId="3" xr:uid="{3E87C4CA-85DE-468E-8085-A8D1ACC30DFF}"/>
    <cellStyle name="Neutral" xfId="7" builtinId="28"/>
    <cellStyle name="Normal" xfId="0" builtinId="0"/>
    <cellStyle name="Normal 10" xfId="2" xr:uid="{FF6E4958-5055-4275-AC37-019C45BB0C0E}"/>
    <cellStyle name="Porcentaje" xfId="1" builtinId="5"/>
    <cellStyle name="Total" xfId="8" builtinId="25"/>
  </cellStyles>
  <dxfs count="18">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numFmt numFmtId="3" formatCode="#,##0"/>
    </dxf>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theme="8"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8"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8" tint="0.79998168889431442"/>
        </patternFill>
      </fill>
    </dxf>
    <dxf>
      <border outline="0">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rgb="FFFFC000"/>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colors>
    <mruColors>
      <color rgb="FFCFF5FD"/>
      <color rgb="FF7A0000"/>
      <color rgb="FFFDE3D7"/>
      <color rgb="FFFDD7D7"/>
      <color rgb="FFF2DEFE"/>
      <color rgb="FFD1D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333374</xdr:colOff>
      <xdr:row>1</xdr:row>
      <xdr:rowOff>0</xdr:rowOff>
    </xdr:from>
    <xdr:to>
      <xdr:col>5</xdr:col>
      <xdr:colOff>336549</xdr:colOff>
      <xdr:row>7</xdr:row>
      <xdr:rowOff>35719</xdr:rowOff>
    </xdr:to>
    <xdr:pic>
      <xdr:nvPicPr>
        <xdr:cNvPr id="2" name="Imagen 1" descr="sernatur - Chile es TUYO">
          <a:extLst>
            <a:ext uri="{FF2B5EF4-FFF2-40B4-BE49-F238E27FC236}">
              <a16:creationId xmlns:a16="http://schemas.microsoft.com/office/drawing/2014/main" id="{82A9CE46-5EB8-0B65-38C4-25A6458EF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 y="190500"/>
          <a:ext cx="2786063" cy="1178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666751</xdr:colOff>
      <xdr:row>3</xdr:row>
      <xdr:rowOff>9526</xdr:rowOff>
    </xdr:from>
    <xdr:to>
      <xdr:col>8</xdr:col>
      <xdr:colOff>450706</xdr:colOff>
      <xdr:row>4</xdr:row>
      <xdr:rowOff>152400</xdr:rowOff>
    </xdr:to>
    <xdr:pic>
      <xdr:nvPicPr>
        <xdr:cNvPr id="4" name="Imagen 3" descr="THR - ASESORES EN TURISMO, HOTELERÍA Y RECREACIÓN, S.A. | OMT">
          <a:extLst>
            <a:ext uri="{FF2B5EF4-FFF2-40B4-BE49-F238E27FC236}">
              <a16:creationId xmlns:a16="http://schemas.microsoft.com/office/drawing/2014/main" id="{939A9DB6-68EC-6CA6-142B-5B668D7800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8126" y="581026"/>
          <a:ext cx="2073130" cy="333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9524</xdr:colOff>
      <xdr:row>6</xdr:row>
      <xdr:rowOff>9525</xdr:rowOff>
    </xdr:from>
    <xdr:to>
      <xdr:col>24</xdr:col>
      <xdr:colOff>390526</xdr:colOff>
      <xdr:row>20</xdr:row>
      <xdr:rowOff>180975</xdr:rowOff>
    </xdr:to>
    <xdr:sp macro="" textlink="">
      <xdr:nvSpPr>
        <xdr:cNvPr id="2" name="CuadroTexto 1">
          <a:extLst>
            <a:ext uri="{FF2B5EF4-FFF2-40B4-BE49-F238E27FC236}">
              <a16:creationId xmlns:a16="http://schemas.microsoft.com/office/drawing/2014/main" id="{B63A1B8C-BB51-47E3-B0B8-69C795CA9FA0}"/>
            </a:ext>
          </a:extLst>
        </xdr:cNvPr>
        <xdr:cNvSpPr txBox="1"/>
      </xdr:nvSpPr>
      <xdr:spPr>
        <a:xfrm>
          <a:off x="8877299" y="1019175"/>
          <a:ext cx="6477002" cy="283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u="sng"/>
            <a:t>Metodología general</a:t>
          </a:r>
          <a:r>
            <a:rPr lang="es-ES" sz="1100" u="none"/>
            <a:t>:</a:t>
          </a:r>
          <a:endParaRPr lang="es-ES" sz="1100" u="sng"/>
        </a:p>
        <a:p>
          <a:pPr algn="l"/>
          <a:r>
            <a:rPr lang="es-ES" sz="1100"/>
            <a:t>- Llegadas</a:t>
          </a:r>
          <a:r>
            <a:rPr lang="es-ES" sz="1100" baseline="0"/>
            <a:t> de 2023 basadas en la mitad del "gap" existente entre las llegadas del último trimestre de 2022 y 2018.</a:t>
          </a:r>
        </a:p>
        <a:p>
          <a:pPr algn="l"/>
          <a:r>
            <a:rPr lang="es-ES" sz="1100" baseline="0"/>
            <a:t>- En 2024 el objetivo es recuperar los niveles de 2018.</a:t>
          </a:r>
        </a:p>
        <a:p>
          <a:pPr algn="l"/>
          <a:r>
            <a:rPr lang="es-ES" sz="1100" baseline="0"/>
            <a:t>- A partir de 2025 se aplica el CAGR histórico de 2015-2019.</a:t>
          </a:r>
        </a:p>
        <a:p>
          <a:pPr algn="l"/>
          <a:r>
            <a:rPr lang="es-ES" sz="1100" u="sng" baseline="0"/>
            <a:t>Excepciones</a:t>
          </a:r>
          <a:r>
            <a:rPr lang="es-ES" sz="1100" baseline="0"/>
            <a:t>: </a:t>
          </a:r>
        </a:p>
        <a:p>
          <a:pPr algn="l"/>
          <a:r>
            <a:rPr lang="es-ES" sz="1100" baseline="0"/>
            <a:t>- Los mercados limítrofes con excepción de Argentina con CABA no se considerarán en las proyecciones.</a:t>
          </a:r>
        </a:p>
        <a:p>
          <a:pPr algn="l"/>
          <a:r>
            <a:rPr lang="es-ES" sz="1100" baseline="0"/>
            <a:t>- Para Argentina, Perú, Bolivia y Uruguay se asume un "tope" de llegadas y se mantienen constantes a partir de ciertos años. El crecimiento de estos mercados dependerá de la coyuntura del mercado, no de la inversión que se realice. </a:t>
          </a:r>
        </a:p>
        <a:p>
          <a:pPr algn="l"/>
          <a:r>
            <a:rPr lang="es-ES" sz="1100" baseline="0"/>
            <a:t>- Las proyecciones de llegadas de Argentina, Bolivia y Uruguay se basan en los datos de 2019 ya que son más conservativos que 2018.</a:t>
          </a:r>
        </a:p>
        <a:p>
          <a:pPr algn="l"/>
          <a:r>
            <a:rPr lang="es-ES" sz="1100" baseline="0"/>
            <a:t>- El CAGR que se aplica para Argentina es de 2008 a 2019 para mitigar los efectos de la notable subida y bajada de llegadas entre 2015 y 2019.</a:t>
          </a:r>
        </a:p>
        <a:p>
          <a:pPr algn="l"/>
          <a:r>
            <a:rPr lang="es-ES" sz="1100"/>
            <a:t>- El CAGR </a:t>
          </a:r>
          <a:r>
            <a:rPr lang="es-ES" sz="1100" baseline="0"/>
            <a:t>para Uruguay se asume un </a:t>
          </a:r>
          <a:r>
            <a:rPr lang="es-ES" sz="1100"/>
            <a:t>2.5% constante.</a:t>
          </a:r>
        </a:p>
      </xdr:txBody>
    </xdr:sp>
    <xdr:clientData/>
  </xdr:twoCellAnchor>
  <xdr:twoCellAnchor>
    <xdr:from>
      <xdr:col>10</xdr:col>
      <xdr:colOff>657224</xdr:colOff>
      <xdr:row>25</xdr:row>
      <xdr:rowOff>0</xdr:rowOff>
    </xdr:from>
    <xdr:to>
      <xdr:col>19</xdr:col>
      <xdr:colOff>409575</xdr:colOff>
      <xdr:row>34</xdr:row>
      <xdr:rowOff>171450</xdr:rowOff>
    </xdr:to>
    <xdr:sp macro="" textlink="">
      <xdr:nvSpPr>
        <xdr:cNvPr id="3" name="CuadroTexto 2">
          <a:extLst>
            <a:ext uri="{FF2B5EF4-FFF2-40B4-BE49-F238E27FC236}">
              <a16:creationId xmlns:a16="http://schemas.microsoft.com/office/drawing/2014/main" id="{B4D4CAB1-034B-425B-B994-DA565C1CE65C}"/>
            </a:ext>
          </a:extLst>
        </xdr:cNvPr>
        <xdr:cNvSpPr txBox="1"/>
      </xdr:nvSpPr>
      <xdr:spPr>
        <a:xfrm>
          <a:off x="9134474" y="4648200"/>
          <a:ext cx="6410326"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a:t>-</a:t>
          </a:r>
          <a:r>
            <a:rPr lang="es-ES" sz="1100" baseline="0"/>
            <a:t> </a:t>
          </a:r>
          <a:r>
            <a:rPr lang="es-ES" sz="1100"/>
            <a:t>Los ROI de partida para 2023 son el mínimo de los años 2017-2022 sin considerar 2020 y 2021 por</a:t>
          </a:r>
          <a:r>
            <a:rPr lang="es-ES" sz="1100" baseline="0"/>
            <a:t> resultados atípicos. </a:t>
          </a:r>
        </a:p>
        <a:p>
          <a:pPr algn="l"/>
          <a:r>
            <a:rPr lang="es-ES" sz="1100"/>
            <a:t>- Para Reino Unido y España el ROI de partida es el mínimo prepandemia</a:t>
          </a:r>
          <a:r>
            <a:rPr lang="es-ES" sz="1100" baseline="0"/>
            <a:t> (2017-2019).</a:t>
          </a:r>
        </a:p>
        <a:p>
          <a:pPr algn="l"/>
          <a:endParaRPr lang="es-ES" sz="500" baseline="0"/>
        </a:p>
        <a:p>
          <a:pPr algn="l"/>
          <a:r>
            <a:rPr lang="es-ES" sz="1100"/>
            <a:t>- El objetivo</a:t>
          </a:r>
          <a:r>
            <a:rPr lang="es-ES" sz="1100" baseline="0"/>
            <a:t> de 2028 es alcanzar el promedio entre 2017 y 2022.</a:t>
          </a:r>
        </a:p>
        <a:p>
          <a:pPr algn="l"/>
          <a:r>
            <a:rPr lang="es-ES" sz="1100"/>
            <a:t>- La excepción son los mercados</a:t>
          </a:r>
          <a:r>
            <a:rPr lang="es-ES" sz="1100" baseline="0"/>
            <a:t> europeos de Alemania, España y Reino Unido. Estos mercados tendrán una inversión elevada y se asume que el aumento de llegadas e ingreso de divisas será proporcional al del presupuesto. Por esta razón, el ROI se mantiene constante sin crecimiento anual.</a:t>
          </a:r>
        </a:p>
        <a:p>
          <a:pPr algn="l"/>
          <a:r>
            <a:rPr lang="es-ES" sz="1100" baseline="0"/>
            <a:t>- Argentina tiene una meta fija para 2028 y un crecimiento elevado ya que se espera que la inversión genere mejor calidad de gasto de los visitantes, específicamente con foco en el mercado de CABA. </a:t>
          </a:r>
          <a:endParaRPr lang="es-ES" sz="1100"/>
        </a:p>
      </xdr:txBody>
    </xdr:sp>
    <xdr:clientData/>
  </xdr:twoCellAnchor>
  <xdr:twoCellAnchor>
    <xdr:from>
      <xdr:col>10</xdr:col>
      <xdr:colOff>619124</xdr:colOff>
      <xdr:row>40</xdr:row>
      <xdr:rowOff>152400</xdr:rowOff>
    </xdr:from>
    <xdr:to>
      <xdr:col>15</xdr:col>
      <xdr:colOff>85725</xdr:colOff>
      <xdr:row>47</xdr:row>
      <xdr:rowOff>152400</xdr:rowOff>
    </xdr:to>
    <xdr:sp macro="" textlink="">
      <xdr:nvSpPr>
        <xdr:cNvPr id="15" name="CuadroTexto 3">
          <a:extLst>
            <a:ext uri="{FF2B5EF4-FFF2-40B4-BE49-F238E27FC236}">
              <a16:creationId xmlns:a16="http://schemas.microsoft.com/office/drawing/2014/main" id="{A2A2C0CB-E024-4BD2-8B98-E4332AA50F4F}"/>
            </a:ext>
          </a:extLst>
        </xdr:cNvPr>
        <xdr:cNvSpPr txBox="1"/>
      </xdr:nvSpPr>
      <xdr:spPr>
        <a:xfrm>
          <a:off x="9096374" y="7562850"/>
          <a:ext cx="34766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a:t>- Las</a:t>
          </a:r>
          <a:r>
            <a:rPr lang="es-ES" sz="1100" baseline="0"/>
            <a:t> proyecciones de presupuesto de inversión por mercados de 2023 a 2026 se puede encontrar desglosada con los inputs y assumptions necesarios.</a:t>
          </a:r>
        </a:p>
        <a:p>
          <a:pPr algn="l"/>
          <a:r>
            <a:rPr lang="es-ES" sz="1100" baseline="0"/>
            <a:t>- A partir de 2026 se aplica un crecimiento por mercado basado en el CAGR 2024-2026 o 2023-2026 según mercado y los resultados esperados de cada uno. </a:t>
          </a:r>
          <a:endParaRPr lang="es-ES" sz="1100"/>
        </a:p>
      </xdr:txBody>
    </xdr:sp>
    <xdr:clientData/>
  </xdr:twoCellAnchor>
  <xdr:twoCellAnchor>
    <xdr:from>
      <xdr:col>10</xdr:col>
      <xdr:colOff>581024</xdr:colOff>
      <xdr:row>60</xdr:row>
      <xdr:rowOff>28575</xdr:rowOff>
    </xdr:from>
    <xdr:to>
      <xdr:col>21</xdr:col>
      <xdr:colOff>619125</xdr:colOff>
      <xdr:row>75</xdr:row>
      <xdr:rowOff>19050</xdr:rowOff>
    </xdr:to>
    <xdr:sp macro="" textlink="">
      <xdr:nvSpPr>
        <xdr:cNvPr id="484" name="CuadroTexto 4">
          <a:extLst>
            <a:ext uri="{FF2B5EF4-FFF2-40B4-BE49-F238E27FC236}">
              <a16:creationId xmlns:a16="http://schemas.microsoft.com/office/drawing/2014/main" id="{5B6DF014-2C90-4BEC-9C8F-82D46FA96C01}"/>
            </a:ext>
          </a:extLst>
        </xdr:cNvPr>
        <xdr:cNvSpPr txBox="1"/>
      </xdr:nvSpPr>
      <xdr:spPr>
        <a:xfrm>
          <a:off x="9058274" y="9925050"/>
          <a:ext cx="8220076"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a:solidFill>
                <a:schemeClr val="dk1"/>
              </a:solidFill>
              <a:effectLst/>
              <a:latin typeface="+mn-lt"/>
              <a:ea typeface="+mn-ea"/>
              <a:cs typeface="+mn-cs"/>
            </a:rPr>
            <a:t>- Las</a:t>
          </a:r>
          <a:r>
            <a:rPr lang="es-ES" sz="1100" baseline="0">
              <a:solidFill>
                <a:schemeClr val="dk1"/>
              </a:solidFill>
              <a:effectLst/>
              <a:latin typeface="+mn-lt"/>
              <a:ea typeface="+mn-ea"/>
              <a:cs typeface="+mn-cs"/>
            </a:rPr>
            <a:t> proyecciones de ingreso de divisas para los mercados analizados viene de multiplicar el ROI por la inversión en ese mercado.</a:t>
          </a:r>
          <a:endParaRPr lang="es-ES">
            <a:effectLst/>
          </a:endParaRPr>
        </a:p>
        <a:p>
          <a:r>
            <a:rPr lang="es-ES" sz="1100" baseline="0">
              <a:solidFill>
                <a:sysClr val="windowText" lastClr="000000"/>
              </a:solidFill>
              <a:effectLst/>
              <a:latin typeface="+mn-lt"/>
              <a:ea typeface="+mn-ea"/>
              <a:cs typeface="+mn-cs"/>
            </a:rPr>
            <a:t>- Se estima que todos los mercados deben alcanzar los niveles de ingreso de divisas más altos, registrados en 2018 (año que sobrepasa esos niveles marcado en verde). Cada mercado alcanza este nivel entre 2025 y 2027. El mercado australiano, por su caída abrupta, demoraría un año más, y Argentina no recuperaría esos valores, por la situación propia de ese mercado. </a:t>
          </a:r>
          <a:endParaRPr lang="es-ES">
            <a:solidFill>
              <a:sysClr val="windowText" lastClr="000000"/>
            </a:solidFill>
            <a:effectLst/>
          </a:endParaRPr>
        </a:p>
        <a:p>
          <a:r>
            <a:rPr lang="es-ES" sz="1100" baseline="0">
              <a:solidFill>
                <a:sysClr val="windowText" lastClr="000000"/>
              </a:solidFill>
              <a:effectLst/>
              <a:latin typeface="+mn-lt"/>
              <a:ea typeface="+mn-ea"/>
              <a:cs typeface="+mn-cs"/>
            </a:rPr>
            <a:t>- Para algunos mercados se aplica un factor de ajuste de la efectividad de la inversión, que hace que el ingreso de divisas no sea estrictamente proporcional al aumento de la inversión para ese mercado. Estos ajustes se han aplicado a los mercados de Alemania, Australia, Colombia, Estados Unidos y Francia (indicados con letras en naranja). </a:t>
          </a:r>
          <a:endParaRPr lang="es-ES">
            <a:solidFill>
              <a:sysClr val="windowText" lastClr="000000"/>
            </a:solidFill>
            <a:effectLst/>
          </a:endParaRPr>
        </a:p>
        <a:p>
          <a:r>
            <a:rPr lang="es-ES" sz="1100" baseline="0">
              <a:solidFill>
                <a:sysClr val="windowText" lastClr="000000"/>
              </a:solidFill>
              <a:effectLst/>
              <a:latin typeface="+mn-lt"/>
              <a:ea typeface="+mn-ea"/>
              <a:cs typeface="+mn-cs"/>
            </a:rPr>
            <a:t>- Adicionalmente, el ingreso de divisas no depende sólo de las acciones de marketing y la visibilización de más oferta atractiva, sino del consecuente desarrollo de producto y oferta en destino, ajeno a las acciones de marketing promocional.</a:t>
          </a:r>
        </a:p>
        <a:p>
          <a:endParaRPr lang="es-ES" sz="500">
            <a:solidFill>
              <a:sysClr val="windowText" lastClr="000000"/>
            </a:solidFill>
            <a:effectLst/>
          </a:endParaRPr>
        </a:p>
        <a:p>
          <a:r>
            <a:rPr lang="es-ES" sz="1100" baseline="0">
              <a:solidFill>
                <a:schemeClr val="dk1"/>
              </a:solidFill>
              <a:effectLst/>
              <a:latin typeface="+mn-lt"/>
              <a:ea typeface="+mn-ea"/>
              <a:cs typeface="+mn-cs"/>
            </a:rPr>
            <a:t>- Paralelamente se elabora una proyección orgánica de ingreso de divisas totales. Ésta se calcula en base al ingreso de divisas totales en 2019 y se aplica un CAGR anual a partir de 2023. Este CAGR corresponde al ingreso de divisas totales de 2014 a 2019.</a:t>
          </a:r>
          <a:endParaRPr lang="es-ES">
            <a:effectLst/>
          </a:endParaRPr>
        </a:p>
        <a:p>
          <a:r>
            <a:rPr lang="es-ES" sz="1100" baseline="0">
              <a:solidFill>
                <a:schemeClr val="dk1"/>
              </a:solidFill>
              <a:effectLst/>
              <a:latin typeface="+mn-lt"/>
              <a:ea typeface="+mn-ea"/>
              <a:cs typeface="+mn-cs"/>
            </a:rPr>
            <a:t>- El ingreso de divisas desde otros mercados es el diferencial entre el ingreso total y la suma de las divisas desde los mercados de interés.</a:t>
          </a:r>
          <a:endParaRPr lang="es-ES">
            <a:effectLst/>
          </a:endParaRPr>
        </a:p>
        <a:p>
          <a:r>
            <a:rPr lang="es-ES" sz="1100" baseline="0">
              <a:solidFill>
                <a:schemeClr val="dk1"/>
              </a:solidFill>
              <a:effectLst/>
              <a:latin typeface="+mn-lt"/>
              <a:ea typeface="+mn-ea"/>
              <a:cs typeface="+mn-cs"/>
            </a:rPr>
            <a:t>- Como se observa en el CAGR 2023-2028. El ingreso total de divisas crece un 2% anual. Aun así, el ingreso desde los mercados foco crece a la vez que el de los otros mercados decrece. Se focaliza la inversión en los mercados de interés, aumentando el ingreso de divisas desde éstos.</a:t>
          </a:r>
          <a:endParaRPr lang="es-E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257176</xdr:colOff>
      <xdr:row>8</xdr:row>
      <xdr:rowOff>76200</xdr:rowOff>
    </xdr:from>
    <xdr:to>
      <xdr:col>17</xdr:col>
      <xdr:colOff>609601</xdr:colOff>
      <xdr:row>10</xdr:row>
      <xdr:rowOff>161925</xdr:rowOff>
    </xdr:to>
    <xdr:sp macro="" textlink="">
      <xdr:nvSpPr>
        <xdr:cNvPr id="2" name="CuadroTexto 1">
          <a:extLst>
            <a:ext uri="{FF2B5EF4-FFF2-40B4-BE49-F238E27FC236}">
              <a16:creationId xmlns:a16="http://schemas.microsoft.com/office/drawing/2014/main" id="{151F01D9-26A0-8B6B-82C5-45D2F78D5105}"/>
            </a:ext>
          </a:extLst>
        </xdr:cNvPr>
        <xdr:cNvSpPr txBox="1"/>
      </xdr:nvSpPr>
      <xdr:spPr>
        <a:xfrm>
          <a:off x="12611101" y="1362075"/>
          <a:ext cx="255270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a:t>Aplica el CAGR 2008-2019 para Argentina</a:t>
          </a:r>
        </a:p>
        <a:p>
          <a:pPr algn="ctr"/>
          <a:r>
            <a:rPr lang="es-ES" sz="1100"/>
            <a:t>Llegada de argentinos 2008: 863,897</a:t>
          </a:r>
        </a:p>
      </xdr:txBody>
    </xdr:sp>
    <xdr:clientData/>
  </xdr:twoCellAnchor>
  <xdr:twoCellAnchor>
    <xdr:from>
      <xdr:col>14</xdr:col>
      <xdr:colOff>304801</xdr:colOff>
      <xdr:row>18</xdr:row>
      <xdr:rowOff>47625</xdr:rowOff>
    </xdr:from>
    <xdr:to>
      <xdr:col>17</xdr:col>
      <xdr:colOff>266700</xdr:colOff>
      <xdr:row>20</xdr:row>
      <xdr:rowOff>133350</xdr:rowOff>
    </xdr:to>
    <xdr:sp macro="" textlink="">
      <xdr:nvSpPr>
        <xdr:cNvPr id="3" name="CuadroTexto 2">
          <a:extLst>
            <a:ext uri="{FF2B5EF4-FFF2-40B4-BE49-F238E27FC236}">
              <a16:creationId xmlns:a16="http://schemas.microsoft.com/office/drawing/2014/main" id="{BEB79BAE-7687-49D8-AA31-22900289366F}"/>
            </a:ext>
          </a:extLst>
        </xdr:cNvPr>
        <xdr:cNvSpPr txBox="1"/>
      </xdr:nvSpPr>
      <xdr:spPr>
        <a:xfrm>
          <a:off x="12658726" y="3238500"/>
          <a:ext cx="2162174"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a:t>Se asume un CAGR más reducido para Uruguay</a:t>
          </a:r>
        </a:p>
      </xdr:txBody>
    </xdr:sp>
    <xdr:clientData/>
  </xdr:twoCellAnchor>
  <xdr:twoCellAnchor>
    <xdr:from>
      <xdr:col>8</xdr:col>
      <xdr:colOff>361950</xdr:colOff>
      <xdr:row>29</xdr:row>
      <xdr:rowOff>47624</xdr:rowOff>
    </xdr:from>
    <xdr:to>
      <xdr:col>12</xdr:col>
      <xdr:colOff>409575</xdr:colOff>
      <xdr:row>38</xdr:row>
      <xdr:rowOff>57149</xdr:rowOff>
    </xdr:to>
    <xdr:sp macro="" textlink="">
      <xdr:nvSpPr>
        <xdr:cNvPr id="4" name="CuadroTexto 3">
          <a:extLst>
            <a:ext uri="{FF2B5EF4-FFF2-40B4-BE49-F238E27FC236}">
              <a16:creationId xmlns:a16="http://schemas.microsoft.com/office/drawing/2014/main" id="{1A3D0252-9B34-417C-B206-D5EE4C190329}"/>
            </a:ext>
          </a:extLst>
        </xdr:cNvPr>
        <xdr:cNvSpPr txBox="1"/>
      </xdr:nvSpPr>
      <xdr:spPr>
        <a:xfrm>
          <a:off x="6743700" y="5219699"/>
          <a:ext cx="388620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a:t>El objetivo en</a:t>
          </a:r>
          <a:r>
            <a:rPr lang="es-ES" sz="1100" baseline="0"/>
            <a:t> llegadas para los 2 siguientes años (2023 y 2024) se basa en recuperar las llegadas prepandemia y revueltas sociales. Eso es, igualar las llegadas de 2018. </a:t>
          </a:r>
        </a:p>
        <a:p>
          <a:pPr algn="ctr"/>
          <a:r>
            <a:rPr lang="es-ES" sz="1100" baseline="0"/>
            <a:t>En 2023 el objetivo es recuperar la mitad del "gap" existente entre las llegadas del último trimestre de 2018 y 2022.</a:t>
          </a:r>
        </a:p>
        <a:p>
          <a:pPr algn="ctr"/>
          <a:r>
            <a:rPr lang="es-ES" sz="1100" baseline="0"/>
            <a:t>En 2024 el objetivo es recuperar el volumen de llegadas de 2018.</a:t>
          </a:r>
          <a:endParaRPr lang="es-ES" sz="1100"/>
        </a:p>
      </xdr:txBody>
    </xdr:sp>
    <xdr:clientData/>
  </xdr:twoCellAnchor>
  <xdr:twoCellAnchor>
    <xdr:from>
      <xdr:col>4</xdr:col>
      <xdr:colOff>304800</xdr:colOff>
      <xdr:row>69</xdr:row>
      <xdr:rowOff>114300</xdr:rowOff>
    </xdr:from>
    <xdr:to>
      <xdr:col>5</xdr:col>
      <xdr:colOff>857249</xdr:colOff>
      <xdr:row>75</xdr:row>
      <xdr:rowOff>9525</xdr:rowOff>
    </xdr:to>
    <xdr:sp macro="" textlink="">
      <xdr:nvSpPr>
        <xdr:cNvPr id="5" name="CuadroTexto 4">
          <a:extLst>
            <a:ext uri="{FF2B5EF4-FFF2-40B4-BE49-F238E27FC236}">
              <a16:creationId xmlns:a16="http://schemas.microsoft.com/office/drawing/2014/main" id="{5FE3D651-00AB-48F0-9C32-77E0882B2A09}"/>
            </a:ext>
          </a:extLst>
        </xdr:cNvPr>
        <xdr:cNvSpPr txBox="1"/>
      </xdr:nvSpPr>
      <xdr:spPr>
        <a:xfrm>
          <a:off x="2524125" y="12734925"/>
          <a:ext cx="1552574"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a:t>Gasto total</a:t>
          </a:r>
          <a:r>
            <a:rPr lang="es-ES" sz="1100" baseline="0"/>
            <a:t> individual por viaje por mercado calculado en base al ingreso de divisas y llegadas por mercado.</a:t>
          </a:r>
          <a:endParaRPr lang="es-ES" sz="1100"/>
        </a:p>
      </xdr:txBody>
    </xdr:sp>
    <xdr:clientData/>
  </xdr:twoCellAnchor>
  <xdr:twoCellAnchor>
    <xdr:from>
      <xdr:col>10</xdr:col>
      <xdr:colOff>371474</xdr:colOff>
      <xdr:row>49</xdr:row>
      <xdr:rowOff>142875</xdr:rowOff>
    </xdr:from>
    <xdr:to>
      <xdr:col>12</xdr:col>
      <xdr:colOff>438149</xdr:colOff>
      <xdr:row>56</xdr:row>
      <xdr:rowOff>0</xdr:rowOff>
    </xdr:to>
    <xdr:sp macro="" textlink="">
      <xdr:nvSpPr>
        <xdr:cNvPr id="6" name="CuadroTexto 5">
          <a:extLst>
            <a:ext uri="{FF2B5EF4-FFF2-40B4-BE49-F238E27FC236}">
              <a16:creationId xmlns:a16="http://schemas.microsoft.com/office/drawing/2014/main" id="{89374B22-488A-4A2F-AE8A-BD9F400F885E}"/>
            </a:ext>
          </a:extLst>
        </xdr:cNvPr>
        <xdr:cNvSpPr txBox="1"/>
      </xdr:nvSpPr>
      <xdr:spPr>
        <a:xfrm>
          <a:off x="8801099" y="9048750"/>
          <a:ext cx="1895475"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a:t>Datos para</a:t>
          </a:r>
          <a:r>
            <a:rPr lang="es-ES" sz="1100" baseline="0"/>
            <a:t> 2020-2022 basado en las llegadas anuales por mercado y el gasto total por mercado de 2019 que se asume constante.</a:t>
          </a:r>
          <a:endParaRPr lang="es-ES" sz="1100"/>
        </a:p>
      </xdr:txBody>
    </xdr:sp>
    <xdr:clientData/>
  </xdr:twoCellAnchor>
  <xdr:twoCellAnchor>
    <xdr:from>
      <xdr:col>13</xdr:col>
      <xdr:colOff>219075</xdr:colOff>
      <xdr:row>139</xdr:row>
      <xdr:rowOff>104775</xdr:rowOff>
    </xdr:from>
    <xdr:to>
      <xdr:col>17</xdr:col>
      <xdr:colOff>666750</xdr:colOff>
      <xdr:row>148</xdr:row>
      <xdr:rowOff>38100</xdr:rowOff>
    </xdr:to>
    <xdr:sp macro="" textlink="">
      <xdr:nvSpPr>
        <xdr:cNvPr id="7" name="CuadroTexto 6">
          <a:extLst>
            <a:ext uri="{FF2B5EF4-FFF2-40B4-BE49-F238E27FC236}">
              <a16:creationId xmlns:a16="http://schemas.microsoft.com/office/drawing/2014/main" id="{9548FD17-0238-4E28-ABA9-91400A4DD5B1}"/>
            </a:ext>
          </a:extLst>
        </xdr:cNvPr>
        <xdr:cNvSpPr txBox="1"/>
      </xdr:nvSpPr>
      <xdr:spPr>
        <a:xfrm>
          <a:off x="11668125" y="25812750"/>
          <a:ext cx="3552825"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a:t>Se calcula el ROI promedio por distintos años 2017-2022</a:t>
          </a:r>
          <a:r>
            <a:rPr lang="es-ES" sz="1100" baseline="0"/>
            <a:t> y 2017-2019.</a:t>
          </a:r>
        </a:p>
        <a:p>
          <a:pPr algn="ctr"/>
          <a:r>
            <a:rPr lang="es-ES" sz="1100" baseline="0"/>
            <a:t>El ROI promedio 2017-2022 se calcula en base al total general de ingreso de divisas y el total de presupuesto de inversión por mercado para esos años.</a:t>
          </a:r>
        </a:p>
        <a:p>
          <a:pPr algn="ctr"/>
          <a:r>
            <a:rPr lang="es-ES" sz="1100" baseline="0"/>
            <a:t>Se calcula también el ROI máximo y mínimo excluyendo los años 2020 y 2021 por resultados anormales.</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xdr:colOff>
      <xdr:row>147</xdr:row>
      <xdr:rowOff>-1</xdr:rowOff>
    </xdr:from>
    <xdr:to>
      <xdr:col>6</xdr:col>
      <xdr:colOff>11207</xdr:colOff>
      <xdr:row>156</xdr:row>
      <xdr:rowOff>179294</xdr:rowOff>
    </xdr:to>
    <xdr:sp macro="" textlink="">
      <xdr:nvSpPr>
        <xdr:cNvPr id="3" name="CuadroTexto 2">
          <a:extLst>
            <a:ext uri="{FF2B5EF4-FFF2-40B4-BE49-F238E27FC236}">
              <a16:creationId xmlns:a16="http://schemas.microsoft.com/office/drawing/2014/main" id="{EF4248F3-D7B4-A73A-47BC-F204D7A19F4F}"/>
            </a:ext>
          </a:extLst>
        </xdr:cNvPr>
        <xdr:cNvSpPr txBox="1"/>
      </xdr:nvSpPr>
      <xdr:spPr>
        <a:xfrm>
          <a:off x="1030943" y="27667323"/>
          <a:ext cx="6376146" cy="1893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a:t>- La</a:t>
          </a:r>
          <a:r>
            <a:rPr lang="es-ES" sz="1100" baseline="0"/>
            <a:t> proyección de presupuestos se basa en la evolución histórica de presupuestos, así como inputs dados por SERNATUR.</a:t>
          </a:r>
        </a:p>
        <a:p>
          <a:r>
            <a:rPr lang="es-ES" sz="1100" baseline="0"/>
            <a:t>- El presupuesto por acciones a desarrollar por mercado está en acorde a las acciones propuestas en el Entregable 3.</a:t>
          </a:r>
        </a:p>
        <a:p>
          <a:r>
            <a:rPr lang="es-ES" sz="1100" baseline="0"/>
            <a:t>- Se marca un crecimiento total del 10% para 2024-2025 y 15% 2025-2026. Se comprueba que el total final esté alineado con esta meta definida.</a:t>
          </a:r>
        </a:p>
        <a:p>
          <a:r>
            <a:rPr lang="es-ES" sz="1100" baseline="0"/>
            <a:t>- Las acciones tienen un crecimiento distinto según el tipo. En general se aplica un crecimiento del 3% y un crecimiento más notable para fam y press trips.</a:t>
          </a:r>
        </a:p>
        <a:p>
          <a:r>
            <a:rPr lang="es-ES" sz="1100" baseline="0"/>
            <a:t>- Ciertos mercados también tienen un crecimiento más notable en ciertos años: Australia y Alemania para 2024-2025 y EEUU y Francia para 2025-2026.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485774</xdr:colOff>
      <xdr:row>24</xdr:row>
      <xdr:rowOff>180975</xdr:rowOff>
    </xdr:from>
    <xdr:to>
      <xdr:col>21</xdr:col>
      <xdr:colOff>152400</xdr:colOff>
      <xdr:row>30</xdr:row>
      <xdr:rowOff>76200</xdr:rowOff>
    </xdr:to>
    <xdr:sp macro="" textlink="">
      <xdr:nvSpPr>
        <xdr:cNvPr id="2" name="CuadroTexto 1">
          <a:extLst>
            <a:ext uri="{FF2B5EF4-FFF2-40B4-BE49-F238E27FC236}">
              <a16:creationId xmlns:a16="http://schemas.microsoft.com/office/drawing/2014/main" id="{D928E18E-F50B-40A3-BBF9-43E733E8FC2E}"/>
            </a:ext>
          </a:extLst>
        </xdr:cNvPr>
        <xdr:cNvSpPr txBox="1"/>
      </xdr:nvSpPr>
      <xdr:spPr>
        <a:xfrm>
          <a:off x="10582274" y="4257675"/>
          <a:ext cx="3133726"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a:t>Los</a:t>
          </a:r>
          <a:r>
            <a:rPr lang="es-ES" sz="1100" baseline="0"/>
            <a:t> CARGs resaltados en verde son los que se aplicarán para el crecimiento de los presupuestos a partir de 2026.</a:t>
          </a:r>
        </a:p>
        <a:p>
          <a:pPr algn="ctr"/>
          <a:r>
            <a:rPr lang="es-ES" sz="1100" baseline="0"/>
            <a:t>Aplica el CAGR 2024-2026 o 2023-2026 según mercado y los resultados esperados de cada uno. </a:t>
          </a:r>
          <a:endParaRPr lang="es-E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ra Robert" refreshedDate="45064.443909027781" createdVersion="8" refreshedVersion="8" minRefreshableVersion="3" recordCount="120" xr:uid="{B6DB2BB7-A376-4425-8EEC-D65B2A99B4D7}">
  <cacheSource type="worksheet">
    <worksheetSource name="TablaPresupuestos"/>
  </cacheSource>
  <cacheFields count="8">
    <cacheField name="MERCADO" numFmtId="0">
      <sharedItems count="11">
        <s v="BRASIL"/>
        <s v="ARGENTINA/CABA"/>
        <s v="COLOMBIA"/>
        <s v="EEUU"/>
        <s v="ESPAÑA"/>
        <s v="FRANCIA"/>
        <s v="REINO UNIDO"/>
        <s v="ALEMANIA"/>
        <s v="AUSTRALIA"/>
        <s v="MICE"/>
        <s v="MULTIMERCADO"/>
      </sharedItems>
    </cacheField>
    <cacheField name="Área negocio" numFmtId="0">
      <sharedItems/>
    </cacheField>
    <cacheField name="Acción genérica" numFmtId="0">
      <sharedItems/>
    </cacheField>
    <cacheField name="Proyecto" numFmtId="0">
      <sharedItems/>
    </cacheField>
    <cacheField name="2023" numFmtId="3">
      <sharedItems containsString="0" containsBlank="1" containsNumber="1" containsInteger="1" minValue="0" maxValue="310490550"/>
    </cacheField>
    <cacheField name="2024" numFmtId="3">
      <sharedItems containsString="0" containsBlank="1" containsNumber="1" containsInteger="1" minValue="0" maxValue="900000000"/>
    </cacheField>
    <cacheField name="2025" numFmtId="3">
      <sharedItems containsSemiMixedTypes="0" containsString="0" containsNumber="1" minValue="0" maxValue="927000000"/>
    </cacheField>
    <cacheField name="2026" numFmtId="3">
      <sharedItems containsSemiMixedTypes="0" containsString="0" containsNumber="1" minValue="0" maxValue="95481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s v="TRADE"/>
    <s v="PR"/>
    <s v="Agencia PR "/>
    <n v="100967168"/>
    <n v="101000000"/>
    <n v="135845000"/>
    <n v="182236067.5"/>
  </r>
  <r>
    <x v="0"/>
    <s v="TRADE"/>
    <s v="FAM"/>
    <s v="Fam Tour"/>
    <n v="12000000"/>
    <n v="20000000"/>
    <n v="33800000"/>
    <n v="56885400"/>
  </r>
  <r>
    <x v="0"/>
    <s v="TRADE"/>
    <s v="CAPACITACIÓN"/>
    <s v="Capacitación Canal comercial"/>
    <n v="15300000"/>
    <n v="10000000"/>
    <n v="10300000"/>
    <n v="10609000"/>
  </r>
  <r>
    <x v="0"/>
    <s v="TRADE"/>
    <s v="COOPERADA"/>
    <s v="Campañas Cooperadas"/>
    <n v="255603461"/>
    <n v="250000000"/>
    <n v="257500000"/>
    <n v="265225000"/>
  </r>
  <r>
    <x v="0"/>
    <s v="TRADE"/>
    <s v="CAMPAÑA"/>
    <s v="Campañas Trade"/>
    <n v="54773254"/>
    <n v="50000000"/>
    <n v="51500000"/>
    <n v="53045000"/>
  </r>
  <r>
    <x v="0"/>
    <s v="FERIAS Y EVENTOS "/>
    <s v="FERIAS"/>
    <s v="Feria WTM Latam - Sao Paulo "/>
    <n v="310490550"/>
    <n v="260000000"/>
    <n v="267800000"/>
    <n v="275834000"/>
  </r>
  <r>
    <x v="0"/>
    <s v="FERIAS Y EVENTOS "/>
    <s v="ROADSHOW"/>
    <s v="Roadshow BR (3 ciudades)"/>
    <n v="42500000"/>
    <n v="45000000"/>
    <n v="46350000"/>
    <n v="47740500"/>
  </r>
  <r>
    <x v="0"/>
    <s v="PRENSA E INFLUENCIADORES"/>
    <s v="PRESS"/>
    <s v="Viajes de prensa"/>
    <n v="26400000"/>
    <n v="25000000"/>
    <n v="42250000"/>
    <n v="71106750"/>
  </r>
  <r>
    <x v="0"/>
    <s v="BRANDING "/>
    <s v="CAMPAÑA AO"/>
    <s v="Always on"/>
    <n v="184119274"/>
    <n v="100000000"/>
    <n v="103000000"/>
    <n v="106090000"/>
  </r>
  <r>
    <x v="0"/>
    <s v="BRANDING "/>
    <s v="CAMPAÑA ESP"/>
    <s v="Especificas"/>
    <m/>
    <n v="180000000"/>
    <n v="185400000"/>
    <n v="190962000"/>
  </r>
  <r>
    <x v="1"/>
    <s v="TRADE"/>
    <s v="PR"/>
    <s v="Agencia PR "/>
    <n v="21635822"/>
    <n v="22000000"/>
    <n v="22660000"/>
    <n v="22999899.999999996"/>
  </r>
  <r>
    <x v="1"/>
    <s v="TRADE"/>
    <s v="FAM"/>
    <s v="Fam Tour"/>
    <n v="8000000"/>
    <n v="10000000"/>
    <n v="16900000"/>
    <n v="28442700"/>
  </r>
  <r>
    <x v="1"/>
    <s v="TRADE"/>
    <s v="CAPACITACIÓN"/>
    <s v="Capacitación Canal comercial"/>
    <n v="5400000"/>
    <n v="3000000"/>
    <n v="3090000"/>
    <n v="3182700"/>
  </r>
  <r>
    <x v="1"/>
    <s v="TRADE"/>
    <s v="COOPERADA"/>
    <s v="Campañas Cooperadas"/>
    <n v="98315981"/>
    <n v="100000000"/>
    <n v="103000000"/>
    <n v="106090000"/>
  </r>
  <r>
    <x v="1"/>
    <s v="TRADE"/>
    <s v="CAMPAÑA"/>
    <s v="Campañas Trade"/>
    <n v="19331737"/>
    <n v="17000000"/>
    <n v="17510000"/>
    <n v="18035300"/>
  </r>
  <r>
    <x v="1"/>
    <s v="FERIAS Y EVENTOS "/>
    <s v="FERIAS"/>
    <s v="FIT - Buenos Aires"/>
    <n v="148750000"/>
    <n v="150000000"/>
    <n v="150000000"/>
    <n v="150000000"/>
  </r>
  <r>
    <x v="1"/>
    <s v="PRENSA E INFLUENCIADORES"/>
    <s v="PRESS"/>
    <s v="Viajes de prensa"/>
    <n v="8800000"/>
    <n v="9000000"/>
    <n v="15210000"/>
    <n v="25598430"/>
  </r>
  <r>
    <x v="1"/>
    <s v="BRANDING "/>
    <s v="CAMPAÑA ESP"/>
    <s v="Especificas"/>
    <n v="27425113"/>
    <n v="30000000"/>
    <n v="30900000"/>
    <n v="31827000"/>
  </r>
  <r>
    <x v="2"/>
    <s v="TRADE"/>
    <s v="PR"/>
    <s v="Agencia PR "/>
    <n v="21635822"/>
    <n v="22000000"/>
    <n v="29590000"/>
    <n v="39694985"/>
  </r>
  <r>
    <x v="2"/>
    <s v="TRADE"/>
    <s v="FAM"/>
    <s v="Fam Tour"/>
    <m/>
    <n v="8000000"/>
    <n v="13520000"/>
    <n v="22754160"/>
  </r>
  <r>
    <x v="2"/>
    <s v="TRADE"/>
    <s v="CAPACITACIÓN"/>
    <s v="Capacitación Canal comercial"/>
    <n v="5400000"/>
    <n v="3000000"/>
    <n v="3090000"/>
    <n v="3182700"/>
  </r>
  <r>
    <x v="2"/>
    <s v="TRADE"/>
    <s v="COOPERADA"/>
    <s v="Campañas Cooperadas"/>
    <n v="98315981"/>
    <n v="80000000"/>
    <n v="82400000"/>
    <n v="84872000"/>
  </r>
  <r>
    <x v="2"/>
    <s v="TRADE"/>
    <s v="CAMPAÑA"/>
    <s v="Campañas Trade"/>
    <n v="19331737"/>
    <n v="17000000"/>
    <n v="17510000"/>
    <n v="18035300"/>
  </r>
  <r>
    <x v="2"/>
    <s v="FERIAS Y EVENTOS "/>
    <s v="FERIAS"/>
    <s v="Adventure Next - Bogotá"/>
    <n v="2550000"/>
    <n v="0"/>
    <n v="0"/>
    <n v="0"/>
  </r>
  <r>
    <x v="2"/>
    <s v="PRENSA E INFLUENCIADORES"/>
    <s v="PRESS"/>
    <s v="Viajes de influenciadores "/>
    <n v="8800000"/>
    <n v="9000000"/>
    <n v="15210000"/>
    <n v="25598430"/>
  </r>
  <r>
    <x v="2"/>
    <s v="BRANDING "/>
    <s v="CAMPAÑA ESP"/>
    <s v="Especificas"/>
    <n v="27425113"/>
    <n v="30000000"/>
    <n v="30900000"/>
    <n v="31827000"/>
  </r>
  <r>
    <x v="3"/>
    <s v="TRADE"/>
    <s v="PR"/>
    <s v="Agencia PR "/>
    <n v="107501128"/>
    <n v="110000000"/>
    <n v="147950000"/>
    <n v="198474925"/>
  </r>
  <r>
    <x v="3"/>
    <s v="TRADE"/>
    <s v="FAM"/>
    <s v="Fam Tour"/>
    <n v="10000000"/>
    <n v="20000000"/>
    <n v="33800000"/>
    <n v="56885400"/>
  </r>
  <r>
    <x v="3"/>
    <s v="TRADE"/>
    <s v="CAPACITACIÓN"/>
    <s v="Capacitación Canal comercial"/>
    <n v="15300000"/>
    <n v="10000000"/>
    <n v="10300000"/>
    <n v="13329230"/>
  </r>
  <r>
    <x v="3"/>
    <s v="TRADE"/>
    <s v="COOPERADA"/>
    <s v="Campañas Cooperadas"/>
    <n v="297148087"/>
    <n v="300000000"/>
    <n v="309000000"/>
    <n v="399876900"/>
  </r>
  <r>
    <x v="3"/>
    <s v="TRADE"/>
    <s v="CAMPAÑA"/>
    <s v="Campañas Trade"/>
    <n v="54773254"/>
    <n v="47000000"/>
    <n v="48410000"/>
    <n v="62647381"/>
  </r>
  <r>
    <x v="3"/>
    <s v="FERIAS Y EVENTOS "/>
    <s v="FERIAS"/>
    <s v="SEATRADE"/>
    <n v="151634050"/>
    <n v="150000000"/>
    <n v="154500000"/>
    <n v="159135000"/>
  </r>
  <r>
    <x v="3"/>
    <s v="FERIAS Y EVENTOS "/>
    <s v="FERIAS"/>
    <s v="TRAVELMARTLATINAMERICA"/>
    <n v="8500000"/>
    <n v="9000000"/>
    <n v="9270000"/>
    <n v="9548100"/>
  </r>
  <r>
    <x v="3"/>
    <s v="FERIAS Y EVENTOS "/>
    <s v="ROADSHOW"/>
    <s v="ROADSHOW (3 ciudades)"/>
    <n v="70000000"/>
    <n v="70000000"/>
    <n v="72100000"/>
    <n v="93304610"/>
  </r>
  <r>
    <x v="3"/>
    <s v="FERIAS Y EVENTOS "/>
    <s v="COOPERADA"/>
    <s v="ATTA - ELEVATE"/>
    <n v="8500000"/>
    <n v="9000000"/>
    <n v="9270000"/>
    <n v="11996307"/>
  </r>
  <r>
    <x v="3"/>
    <s v="FERIAS Y EVENTOS "/>
    <s v="FERIAS"/>
    <s v="ATTA -  ATWS"/>
    <n v="25500000"/>
    <n v="26000000"/>
    <n v="26780000"/>
    <n v="34655998"/>
  </r>
  <r>
    <x v="3"/>
    <s v="FERIAS Y EVENTOS "/>
    <s v="FERIAS"/>
    <s v="USTOA"/>
    <m/>
    <n v="10000000"/>
    <n v="10300000"/>
    <n v="10609000"/>
  </r>
  <r>
    <x v="3"/>
    <s v="FERIAS Y EVENTOS "/>
    <s v="COOPERADA"/>
    <s v="SIGNATURE"/>
    <m/>
    <n v="40000000"/>
    <n v="41200000"/>
    <n v="53316920"/>
  </r>
  <r>
    <x v="3"/>
    <s v="PRENSA E INFLUENCIADORES"/>
    <s v="PRESS"/>
    <s v="Viajes de prensa"/>
    <n v="29435857"/>
    <n v="40000000"/>
    <n v="67600000"/>
    <n v="113770800"/>
  </r>
  <r>
    <x v="3"/>
    <s v="BRANDING "/>
    <s v="CAMPAÑA AO"/>
    <s v="Always on"/>
    <n v="222959550"/>
    <n v="100000000"/>
    <n v="103000000"/>
    <n v="133292300"/>
  </r>
  <r>
    <x v="3"/>
    <s v="BRANDING "/>
    <s v="CAMPAÑA ESP"/>
    <s v="Especificas"/>
    <m/>
    <n v="200000000"/>
    <n v="206000000"/>
    <n v="266584600"/>
  </r>
  <r>
    <x v="4"/>
    <s v="TRADE"/>
    <s v="PR"/>
    <s v="Agencia PR "/>
    <n v="51863100"/>
    <n v="52000000"/>
    <n v="69940000"/>
    <n v="93824510"/>
  </r>
  <r>
    <x v="4"/>
    <s v="TRADE"/>
    <s v="FAM"/>
    <s v="Fam Tour"/>
    <n v="0"/>
    <n v="20000000"/>
    <n v="33800000"/>
    <n v="56885400"/>
  </r>
  <r>
    <x v="4"/>
    <s v="TRADE"/>
    <s v="COOPERADA"/>
    <s v="Campañas Cooperadas"/>
    <n v="118444913"/>
    <n v="120000000"/>
    <n v="123600000"/>
    <n v="127308000"/>
  </r>
  <r>
    <x v="4"/>
    <s v="TRADE"/>
    <s v="CAPACITACIÓN"/>
    <s v="Capacitación Canal comercial"/>
    <n v="8100000"/>
    <n v="4000000"/>
    <n v="4120000"/>
    <n v="4243600"/>
  </r>
  <r>
    <x v="4"/>
    <s v="TRADE"/>
    <s v="CAMPAÑA"/>
    <s v="Campañas Trade"/>
    <n v="28997605"/>
    <n v="25000000"/>
    <n v="25750000"/>
    <n v="26522500"/>
  </r>
  <r>
    <x v="4"/>
    <s v="FERIAS Y EVENTOS "/>
    <s v="FERIAS"/>
    <s v="FITUR"/>
    <n v="212267100"/>
    <n v="220000000"/>
    <n v="226600000"/>
    <n v="233398000"/>
  </r>
  <r>
    <x v="4"/>
    <s v="FERIAS Y EVENTOS "/>
    <s v="MICE"/>
    <s v="FITUR MICE"/>
    <n v="3655850"/>
    <n v="4000000"/>
    <n v="4120000"/>
    <n v="4243600"/>
  </r>
  <r>
    <x v="4"/>
    <s v="FERIAS Y EVENTOS "/>
    <s v="ROADSHOW"/>
    <s v="ROADSHOW EUROPA"/>
    <n v="21250000"/>
    <n v="25000000"/>
    <n v="25750000"/>
    <n v="26522500"/>
  </r>
  <r>
    <x v="4"/>
    <s v="PRENSA E INFLUENCIADORES"/>
    <s v="PRESS"/>
    <s v="Viajes de influenciadores "/>
    <n v="18875857"/>
    <n v="20000000"/>
    <n v="33800000"/>
    <n v="56885400"/>
  </r>
  <r>
    <x v="4"/>
    <s v="BRANDING "/>
    <s v="CAMPAÑA AO"/>
    <s v="Always on"/>
    <n v="76810105"/>
    <n v="60000000"/>
    <n v="61800000"/>
    <n v="63654000"/>
  </r>
  <r>
    <x v="4"/>
    <s v="BRANDING "/>
    <s v="CAMPAÑA ESP"/>
    <s v="Especificas"/>
    <m/>
    <n v="75000000"/>
    <n v="77250000"/>
    <n v="79567500"/>
  </r>
  <r>
    <x v="5"/>
    <s v="TRADE"/>
    <s v="PR"/>
    <s v="Agencia PR "/>
    <n v="34575400"/>
    <n v="35000000"/>
    <n v="47075000"/>
    <n v="63151112.499999993"/>
  </r>
  <r>
    <x v="5"/>
    <s v="TRADE"/>
    <s v="FERIAS"/>
    <s v="TOPRESA"/>
    <m/>
    <n v="60000000"/>
    <n v="61800000"/>
    <n v="63654000"/>
  </r>
  <r>
    <x v="5"/>
    <s v="TRADE"/>
    <s v="FAM"/>
    <s v="Fam Tour"/>
    <m/>
    <n v="20000000"/>
    <n v="33800000"/>
    <n v="56885400"/>
  </r>
  <r>
    <x v="5"/>
    <s v="TRADE"/>
    <s v="COOPERADA"/>
    <s v="Campañas Cooperadas"/>
    <n v="118444913"/>
    <n v="120000000"/>
    <n v="123600000"/>
    <n v="159950760"/>
  </r>
  <r>
    <x v="5"/>
    <s v="TRADE"/>
    <s v="CAPACITACIÓN"/>
    <s v="Capacitación Canal comercial"/>
    <n v="6300000"/>
    <n v="4000000"/>
    <n v="4120000"/>
    <n v="5331692"/>
  </r>
  <r>
    <x v="5"/>
    <s v="TRADE"/>
    <s v="CAMPAÑA"/>
    <s v="Campañas Trade"/>
    <n v="22553693"/>
    <n v="22000000"/>
    <n v="22660000"/>
    <n v="29324306"/>
  </r>
  <r>
    <x v="5"/>
    <s v="FERIAS Y EVENTOS "/>
    <s v="ROADSHOW"/>
    <s v="ROADSHOW EUROPA"/>
    <n v="21250000"/>
    <n v="25000000"/>
    <n v="25750000"/>
    <n v="33323075"/>
  </r>
  <r>
    <x v="5"/>
    <s v="FERIAS Y EVENTOS "/>
    <s v="WORKSHOP"/>
    <s v="COTAL"/>
    <n v="1350000"/>
    <n v="10000000"/>
    <n v="10300000"/>
    <n v="10609000"/>
  </r>
  <r>
    <x v="5"/>
    <s v="PRENSA E INFLUENCIADORES"/>
    <s v="PRESS"/>
    <s v="Viajes de influenciadores "/>
    <n v="14035857"/>
    <n v="20000000"/>
    <n v="33800000"/>
    <n v="56885400"/>
  </r>
  <r>
    <x v="5"/>
    <s v="BRANDING "/>
    <s v="CAMPAÑA AO"/>
    <s v="Always on"/>
    <n v="70366193"/>
    <n v="60000000"/>
    <n v="61800000"/>
    <n v="79975380"/>
  </r>
  <r>
    <x v="5"/>
    <s v="BRANDING "/>
    <s v="CAMPAÑA ESP"/>
    <s v="Especificas"/>
    <m/>
    <n v="80000000"/>
    <n v="82400000"/>
    <n v="106633840"/>
  </r>
  <r>
    <x v="6"/>
    <s v="TRADE"/>
    <s v="PR"/>
    <s v="Agencia PR "/>
    <n v="51863100"/>
    <n v="50000000"/>
    <n v="67250000"/>
    <n v="90215875"/>
  </r>
  <r>
    <x v="6"/>
    <s v="TRADE"/>
    <s v="FAM"/>
    <s v="Fam Tour"/>
    <m/>
    <n v="20000000"/>
    <n v="33800000"/>
    <n v="56885400"/>
  </r>
  <r>
    <x v="6"/>
    <s v="TRADE"/>
    <s v="COOPERADA"/>
    <s v="Campañas Cooperadas"/>
    <n v="118444913"/>
    <n v="120000000"/>
    <n v="123600000"/>
    <n v="127308000"/>
  </r>
  <r>
    <x v="6"/>
    <s v="TRADE"/>
    <s v="CAPACITACIÓN"/>
    <s v="Capacitación Canal comercial"/>
    <n v="6750000"/>
    <n v="4000000"/>
    <n v="4120000"/>
    <n v="4243600"/>
  </r>
  <r>
    <x v="6"/>
    <s v="TRADE"/>
    <s v="CAMPAÑA"/>
    <s v="Campañas Trade"/>
    <n v="24164671"/>
    <n v="23000000"/>
    <n v="23690000"/>
    <n v="24400700"/>
  </r>
  <r>
    <x v="6"/>
    <s v="FERIAS Y EVENTOS "/>
    <s v="FERIAS"/>
    <s v="LATA Expo"/>
    <n v="5100000"/>
    <n v="10000000"/>
    <n v="10300000"/>
    <n v="10609000"/>
  </r>
  <r>
    <x v="6"/>
    <s v="FERIAS Y EVENTOS "/>
    <s v="ROADSHOW"/>
    <s v="ROADSHOW EUROPA"/>
    <n v="21250000"/>
    <n v="25000000"/>
    <n v="25750000"/>
    <n v="26522500"/>
  </r>
  <r>
    <x v="6"/>
    <s v="FERIAS Y EVENTOS "/>
    <s v="FERIAS"/>
    <s v="WTM Londres"/>
    <n v="161500000"/>
    <n v="150000000"/>
    <n v="154500000"/>
    <n v="159135000"/>
  </r>
  <r>
    <x v="6"/>
    <s v="PRENSA E INFLUENCIADORES"/>
    <s v="PRESS"/>
    <s v="Viajes de influenciadores "/>
    <n v="14915857"/>
    <n v="20000000"/>
    <n v="33800000"/>
    <n v="56885400"/>
  </r>
  <r>
    <x v="6"/>
    <s v="BRANDING "/>
    <s v="CAMPAÑA AO"/>
    <s v="Always on"/>
    <n v="71977171"/>
    <n v="60000000"/>
    <n v="61800000"/>
    <n v="63654000"/>
  </r>
  <r>
    <x v="6"/>
    <s v="BRANDING "/>
    <s v="CAMPAÑA ESP"/>
    <s v="Especificas"/>
    <m/>
    <n v="75000000"/>
    <n v="77250000"/>
    <n v="79567500"/>
  </r>
  <r>
    <x v="7"/>
    <s v="TRADE"/>
    <s v="PR"/>
    <s v="Agencia PR "/>
    <n v="34575400"/>
    <n v="35000000"/>
    <n v="47075000"/>
    <n v="63151112.499999993"/>
  </r>
  <r>
    <x v="7"/>
    <s v="TRADE"/>
    <s v="FAM"/>
    <s v="Fam Tour"/>
    <m/>
    <n v="20000000"/>
    <n v="33800000"/>
    <n v="56885400"/>
  </r>
  <r>
    <x v="7"/>
    <s v="TRADE"/>
    <s v="COOPERADA"/>
    <s v="Campañas Cooperadas"/>
    <n v="118444913"/>
    <n v="120000000"/>
    <n v="164400000"/>
    <n v="169332000"/>
  </r>
  <r>
    <x v="7"/>
    <s v="TRADE"/>
    <s v="CAPACITACIÓN"/>
    <s v="Capacitación Canal comercial"/>
    <n v="8100000"/>
    <n v="4000000"/>
    <n v="5480000"/>
    <n v="5644400"/>
  </r>
  <r>
    <x v="7"/>
    <s v="TRADE"/>
    <s v="CAMPAÑA"/>
    <s v="Campañas Trade"/>
    <n v="28997605"/>
    <n v="23000000"/>
    <n v="31510000.000000004"/>
    <n v="32455300.000000004"/>
  </r>
  <r>
    <x v="7"/>
    <s v="FERIAS Y EVENTOS "/>
    <s v="ROADSHOW"/>
    <s v="ROADSHOW EUROPA"/>
    <n v="21250000"/>
    <n v="25000000"/>
    <n v="34250000"/>
    <n v="35277500"/>
  </r>
  <r>
    <x v="7"/>
    <s v="FERIAS Y EVENTOS "/>
    <s v="FERIAS"/>
    <s v="ITB BERLIN"/>
    <n v="209117850"/>
    <n v="200000000"/>
    <n v="274000000"/>
    <n v="282220000"/>
  </r>
  <r>
    <x v="7"/>
    <s v="FERIAS Y EVENTOS "/>
    <s v="FERIAS"/>
    <s v="ARGE  (FREE MUNCHEN)"/>
    <m/>
    <n v="10000000"/>
    <n v="13700000.000000002"/>
    <n v="14111000.000000002"/>
  </r>
  <r>
    <x v="7"/>
    <s v="PRENSA E INFLUENCIADORES"/>
    <s v="PRESS"/>
    <s v="Viajes de influenciadores "/>
    <n v="15355857"/>
    <n v="20000000"/>
    <n v="33800000"/>
    <n v="56885400"/>
  </r>
  <r>
    <x v="7"/>
    <s v="BRANDING "/>
    <s v="CAMPAÑA AO"/>
    <s v="Always on"/>
    <n v="76810105"/>
    <n v="60000000"/>
    <n v="82200000"/>
    <n v="84666000"/>
  </r>
  <r>
    <x v="7"/>
    <s v="BRANDING "/>
    <s v="CAMPAÑA ESP"/>
    <s v="Especificas"/>
    <m/>
    <n v="80000000"/>
    <n v="109600000.00000001"/>
    <n v="112888000.00000001"/>
  </r>
  <r>
    <x v="8"/>
    <s v="TRADE"/>
    <s v="FAM"/>
    <s v="Fam Tour"/>
    <m/>
    <n v="20000000"/>
    <n v="33800000"/>
    <n v="56885400"/>
  </r>
  <r>
    <x v="8"/>
    <s v="TRADE"/>
    <s v="ROADSHOW"/>
    <s v="Roadshow"/>
    <n v="63035298"/>
    <n v="60000000"/>
    <n v="61800000"/>
    <n v="63654000"/>
  </r>
  <r>
    <x v="8"/>
    <s v="TRADE"/>
    <s v="CAPACITACIÓN"/>
    <s v="Capacitación Canal comercial"/>
    <n v="900000"/>
    <n v="3000000"/>
    <n v="3090000"/>
    <n v="3182700"/>
  </r>
  <r>
    <x v="8"/>
    <s v="TRADE"/>
    <s v="COOPERADA"/>
    <s v="Campañas Cooperadas"/>
    <m/>
    <n v="100000000"/>
    <n v="103000000"/>
    <n v="106090000"/>
  </r>
  <r>
    <x v="8"/>
    <s v="TRADE"/>
    <s v="CAMPAÑA"/>
    <s v="Campañas Trade "/>
    <n v="6443912"/>
    <n v="6500000"/>
    <n v="6695000"/>
    <n v="6895850"/>
  </r>
  <r>
    <x v="8"/>
    <s v="BRANDING "/>
    <s v="CAMPAÑA ESP"/>
    <s v="Específicas"/>
    <m/>
    <n v="68000000"/>
    <n v="70040000"/>
    <n v="72141200"/>
  </r>
  <r>
    <x v="8"/>
    <s v="PRENSA E INFLUENCIADORES"/>
    <s v="PRESS"/>
    <s v="Viajes de influenciadores "/>
    <n v="1517857"/>
    <n v="20000000"/>
    <n v="33800000"/>
    <n v="56885400"/>
  </r>
  <r>
    <x v="9"/>
    <s v="TRADE"/>
    <s v="MICE"/>
    <s v="FAM Gerentes de RRHH de grandes empresas Latam"/>
    <n v="20000000"/>
    <n v="20000000"/>
    <n v="33800000"/>
    <n v="56885400"/>
  </r>
  <r>
    <x v="9"/>
    <s v="TRADE"/>
    <s v="MICE"/>
    <s v="Rueda de Negocios MICE"/>
    <n v="20000000"/>
    <n v="20000000"/>
    <n v="20600000"/>
    <n v="21218000"/>
  </r>
  <r>
    <x v="9"/>
    <s v="TRADE"/>
    <s v="MICE"/>
    <s v="Cena de la Industria MICE"/>
    <n v="15000000"/>
    <n v="15000000"/>
    <n v="15450000"/>
    <n v="15913500"/>
  </r>
  <r>
    <x v="9"/>
    <s v="TRADE"/>
    <s v="MICE"/>
    <s v="Campañas trade"/>
    <n v="32219561"/>
    <n v="28000000"/>
    <n v="28840000"/>
    <n v="29705200"/>
  </r>
  <r>
    <x v="9"/>
    <s v="FERIAS Y EVENTOS "/>
    <s v="MICE"/>
    <s v="Fiexpo Latin America Panamá piso"/>
    <n v="60000000"/>
    <n v="60000000"/>
    <n v="61800000"/>
    <n v="63654000"/>
  </r>
  <r>
    <x v="9"/>
    <s v="FERIAS Y EVENTOS "/>
    <s v="MICE"/>
    <s v="IMEX AMERICA"/>
    <n v="57000000"/>
    <n v="57000000"/>
    <n v="58710000"/>
    <n v="60471300"/>
  </r>
  <r>
    <x v="9"/>
    <s v="FERIAS Y EVENTOS "/>
    <s v="MICE"/>
    <s v="Pago de inscripción ICCA Latin American &amp; Caribbean Summit 2023"/>
    <n v="1000000"/>
    <n v="1000000"/>
    <n v="1030000"/>
    <n v="1060900"/>
  </r>
  <r>
    <x v="9"/>
    <s v="FERIAS Y EVENTOS "/>
    <s v="MICE"/>
    <s v="Motivation Luxury Summit Costa Rica"/>
    <n v="25000000"/>
    <n v="25000000"/>
    <n v="25750000"/>
    <n v="26522500"/>
  </r>
  <r>
    <x v="9"/>
    <s v="FERIAS Y EVENTOS "/>
    <s v="MICE"/>
    <s v="Workshop Technical Visit Chile - Fiexpo - Reserva 2024"/>
    <n v="50000000"/>
    <m/>
    <n v="0"/>
    <n v="0"/>
  </r>
  <r>
    <x v="9"/>
    <s v="FERIAS Y EVENTOS "/>
    <s v="MICE"/>
    <s v="Expedition"/>
    <n v="80000000"/>
    <n v="60000000"/>
    <n v="61800000"/>
    <n v="63654000"/>
  </r>
  <r>
    <x v="9"/>
    <s v="FERIAS Y EVENTOS "/>
    <s v="MICE"/>
    <s v="Otros Eventos"/>
    <n v="25000000"/>
    <m/>
    <n v="0"/>
    <n v="0"/>
  </r>
  <r>
    <x v="9"/>
    <s v="FERIAS Y EVENTOS "/>
    <s v="MICE"/>
    <s v="Membresía ICCA 2023"/>
    <n v="4000000"/>
    <n v="4000000"/>
    <n v="4120000"/>
    <n v="4243600"/>
  </r>
  <r>
    <x v="9"/>
    <s v="ACCIONES POSTULACIONES A EVENTOS"/>
    <s v="MICE"/>
    <s v="Postulación a Eventos Internacionales, Site Inspection, Programa Embajadores"/>
    <n v="45862881"/>
    <n v="50000000"/>
    <n v="51500000"/>
    <n v="53045000"/>
  </r>
  <r>
    <x v="9"/>
    <s v="BRANDING "/>
    <s v="MICE"/>
    <s v="Campañas  "/>
    <n v="207219561"/>
    <n v="210000000"/>
    <n v="216300000"/>
    <n v="222789000"/>
  </r>
  <r>
    <x v="10"/>
    <s v="TRADE"/>
    <s v="CAPACITACIÓN"/>
    <s v="Capacitaciones a Operadores turisticos sobre el Canal Comercial "/>
    <m/>
    <n v="20000000"/>
    <n v="20600000"/>
    <n v="21218000"/>
  </r>
  <r>
    <x v="10"/>
    <s v="TRADE"/>
    <s v="CAPACITACIÓN"/>
    <s v="FAM Nacionales"/>
    <m/>
    <n v="10000000"/>
    <n v="10300000"/>
    <n v="10609000"/>
  </r>
  <r>
    <x v="10"/>
    <s v="REGIONES"/>
    <s v="CAPACITACIÓN"/>
    <s v="Campañas / Eventos Regiones"/>
    <m/>
    <n v="204000000"/>
    <n v="210120000"/>
    <n v="216423600"/>
  </r>
  <r>
    <x v="10"/>
    <s v="REGIONES"/>
    <s v="COOPERADA"/>
    <s v="Especificas. Incluye acciones para Argentina, Perú y Bolivia"/>
    <m/>
    <n v="100000000"/>
    <n v="103000000"/>
    <n v="106090000"/>
  </r>
  <r>
    <x v="10"/>
    <s v="TRADE"/>
    <s v="COOPERADA"/>
    <s v="Alianza del Pacifico"/>
    <m/>
    <n v="200000000"/>
    <n v="206000000"/>
    <n v="212180000"/>
  </r>
  <r>
    <x v="10"/>
    <s v="TRADE"/>
    <s v="SOPORTE"/>
    <s v="Prospección de mercados"/>
    <m/>
    <m/>
    <n v="0"/>
    <n v="150000000"/>
  </r>
  <r>
    <x v="10"/>
    <s v="SOPORTE"/>
    <s v="SOPORTE"/>
    <s v="AUDIOVISUAL"/>
    <m/>
    <n v="157500000"/>
    <n v="162225000"/>
    <n v="167091750"/>
  </r>
  <r>
    <x v="10"/>
    <s v="SOPORTE"/>
    <s v="SOPORTE"/>
    <s v="PLATAFORMAS INTELINGENCIA"/>
    <m/>
    <n v="100000000"/>
    <n v="103000000"/>
    <n v="106090000"/>
  </r>
  <r>
    <x v="10"/>
    <s v="SOPORTE"/>
    <s v="SOPORTE"/>
    <s v="RRHH "/>
    <m/>
    <n v="900000000"/>
    <n v="927000000"/>
    <n v="954810000"/>
  </r>
  <r>
    <x v="10"/>
    <s v="SOPORTE"/>
    <s v="SOPORTE"/>
    <s v="EQUIPOS Y LICENCIAS"/>
    <m/>
    <n v="20000000"/>
    <n v="20600000"/>
    <n v="21218000"/>
  </r>
  <r>
    <x v="10"/>
    <s v="SOPORTE"/>
    <s v="SOPORTE"/>
    <s v="AGENCIA BRANDING/CREATIVA"/>
    <m/>
    <n v="114000000"/>
    <n v="117420000"/>
    <n v="120942600"/>
  </r>
  <r>
    <x v="10"/>
    <s v="SOPORTE"/>
    <s v="SOPORTE"/>
    <s v="AGENCIA DE CONTENIDOS"/>
    <m/>
    <n v="100000000"/>
    <n v="103000000"/>
    <n v="106090000"/>
  </r>
  <r>
    <x v="10"/>
    <s v="SOPORTE"/>
    <s v="SOPORTE"/>
    <s v="IMPRESIÓN MATERIAL"/>
    <m/>
    <n v="20000000"/>
    <n v="20600000"/>
    <n v="21218000"/>
  </r>
  <r>
    <x v="10"/>
    <s v="SOPORTE"/>
    <s v="SOPORTE"/>
    <s v="ENVIOS"/>
    <m/>
    <n v="10000000"/>
    <n v="10300000"/>
    <n v="10609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977131-8196-4D4F-9779-4C1D0266465B}" name="TablaDiná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C6:G18" firstHeaderRow="0" firstDataRow="1" firstDataCol="1"/>
  <pivotFields count="8">
    <pivotField axis="axisRow" showAll="0">
      <items count="12">
        <item x="7"/>
        <item x="1"/>
        <item x="8"/>
        <item x="0"/>
        <item x="2"/>
        <item x="3"/>
        <item x="4"/>
        <item x="5"/>
        <item x="9"/>
        <item x="10"/>
        <item x="6"/>
        <item t="default"/>
      </items>
    </pivotField>
    <pivotField showAll="0"/>
    <pivotField showAll="0"/>
    <pivotField showAll="0"/>
    <pivotField dataField="1" showAll="0"/>
    <pivotField dataField="1" showAll="0"/>
    <pivotField dataField="1" numFmtId="3" showAll="0"/>
    <pivotField dataField="1" numFmtId="3" showAll="0"/>
  </pivotFields>
  <rowFields count="1">
    <field x="0"/>
  </rowFields>
  <rowItems count="12">
    <i>
      <x/>
    </i>
    <i>
      <x v="1"/>
    </i>
    <i>
      <x v="2"/>
    </i>
    <i>
      <x v="3"/>
    </i>
    <i>
      <x v="4"/>
    </i>
    <i>
      <x v="5"/>
    </i>
    <i>
      <x v="6"/>
    </i>
    <i>
      <x v="7"/>
    </i>
    <i>
      <x v="8"/>
    </i>
    <i>
      <x v="9"/>
    </i>
    <i>
      <x v="10"/>
    </i>
    <i t="grand">
      <x/>
    </i>
  </rowItems>
  <colFields count="1">
    <field x="-2"/>
  </colFields>
  <colItems count="4">
    <i>
      <x/>
    </i>
    <i i="1">
      <x v="1"/>
    </i>
    <i i="2">
      <x v="2"/>
    </i>
    <i i="3">
      <x v="3"/>
    </i>
  </colItems>
  <dataFields count="4">
    <dataField name="Suma de 2023" fld="4" baseField="0" baseItem="0"/>
    <dataField name="Suma de 2024" fld="5" baseField="0" baseItem="0"/>
    <dataField name="Suma de 2025" fld="6" baseField="0" baseItem="0"/>
    <dataField name="Suma de 2026" fld="7" baseField="0" baseItem="0"/>
  </dataFields>
  <formats count="1">
    <format dxfId="4">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F8E7EF-319D-40D5-A6B6-417CF6C3D2F6}" name="TablaPresupuestos" displayName="TablaPresupuestos" ref="C5:J125" totalsRowShown="0" headerRowDxfId="17" dataDxfId="15" headerRowBorderDxfId="16" tableBorderDxfId="14" totalsRowBorderDxfId="13">
  <autoFilter ref="C5:J125" xr:uid="{B1F8E7EF-319D-40D5-A6B6-417CF6C3D2F6}"/>
  <tableColumns count="8">
    <tableColumn id="1" xr3:uid="{678A69C9-3619-4A21-95D8-8690723A672D}" name="MERCADO" dataDxfId="12"/>
    <tableColumn id="2" xr3:uid="{A15A663A-7151-4ADF-B289-35ED8928FAC7}" name="Área negocio" dataDxfId="11"/>
    <tableColumn id="3" xr3:uid="{9D9630B5-02CB-476F-8124-01859BAC1BAF}" name="Acción genérica" dataDxfId="10"/>
    <tableColumn id="4" xr3:uid="{E43F35A0-CC4A-4B3D-8E82-AEA2F905B05F}" name="Proyecto" dataDxfId="9"/>
    <tableColumn id="5" xr3:uid="{127388DF-28E1-47BB-8B72-01B72DB7B22C}" name="2023" dataDxfId="8"/>
    <tableColumn id="6" xr3:uid="{A642FA91-DB01-4FA1-A54C-C77D74D0A3D4}" name="2024" dataDxfId="7"/>
    <tableColumn id="7" xr3:uid="{2EFC3B3A-0802-40DA-B69F-936BB2D2B790}" name="2025" dataDxfId="6">
      <calculatedColumnFormula>H6*(1+$E$135)</calculatedColumnFormula>
    </tableColumn>
    <tableColumn id="8" xr3:uid="{CAF35127-5963-4983-8840-6AEA6AEFB5DD}" name="2026" dataDxfId="5">
      <calculatedColumnFormula>I6*(1+$F$135)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7272-031D-48A2-A24B-DC1F0AE8C29E}">
  <sheetPr>
    <tabColor theme="0"/>
  </sheetPr>
  <dimension ref="B10:R32"/>
  <sheetViews>
    <sheetView showGridLines="0" tabSelected="1" zoomScale="90" zoomScaleNormal="90" workbookViewId="0"/>
  </sheetViews>
  <sheetFormatPr baseColWidth="10" defaultRowHeight="15" x14ac:dyDescent="0.25"/>
  <cols>
    <col min="1" max="1" width="5" customWidth="1"/>
    <col min="2" max="2" width="2.5703125" customWidth="1"/>
  </cols>
  <sheetData>
    <row r="10" spans="2:2" ht="31.5" x14ac:dyDescent="0.5">
      <c r="B10" s="16" t="s">
        <v>95</v>
      </c>
    </row>
    <row r="12" spans="2:2" ht="15.75" x14ac:dyDescent="0.25">
      <c r="B12" s="1" t="s">
        <v>96</v>
      </c>
    </row>
    <row r="14" spans="2:2" ht="15.75" x14ac:dyDescent="0.25">
      <c r="B14" s="1" t="s">
        <v>340</v>
      </c>
    </row>
    <row r="16" spans="2:2" x14ac:dyDescent="0.25">
      <c r="B16" t="s">
        <v>98</v>
      </c>
    </row>
    <row r="17" spans="2:18" ht="7.5" customHeight="1" x14ac:dyDescent="0.25"/>
    <row r="18" spans="2:18" x14ac:dyDescent="0.25">
      <c r="C18" s="247" t="s">
        <v>348</v>
      </c>
      <c r="D18" s="247"/>
      <c r="E18" s="247"/>
      <c r="F18" s="247"/>
      <c r="G18" s="247"/>
      <c r="H18" s="247"/>
      <c r="I18" s="247"/>
      <c r="J18" s="247"/>
      <c r="K18" s="247"/>
      <c r="L18" s="247"/>
      <c r="M18" s="247"/>
      <c r="N18" s="247"/>
      <c r="O18" s="247"/>
      <c r="P18" s="247"/>
      <c r="Q18" s="247"/>
      <c r="R18" s="247"/>
    </row>
    <row r="19" spans="2:18" x14ac:dyDescent="0.25">
      <c r="C19" s="247"/>
      <c r="D19" s="247"/>
      <c r="E19" s="247"/>
      <c r="F19" s="247"/>
      <c r="G19" s="247"/>
      <c r="H19" s="247"/>
      <c r="I19" s="247"/>
      <c r="J19" s="247"/>
      <c r="K19" s="247"/>
      <c r="L19" s="247"/>
      <c r="M19" s="247"/>
      <c r="N19" s="247"/>
      <c r="O19" s="247"/>
      <c r="P19" s="247"/>
      <c r="Q19" s="247"/>
      <c r="R19" s="247"/>
    </row>
    <row r="21" spans="2:18" x14ac:dyDescent="0.25">
      <c r="B21" t="s">
        <v>97</v>
      </c>
    </row>
    <row r="22" spans="2:18" ht="6.75" customHeight="1" x14ac:dyDescent="0.25"/>
    <row r="23" spans="2:18" ht="15.75" x14ac:dyDescent="0.25">
      <c r="C23" s="164" t="s">
        <v>300</v>
      </c>
      <c r="D23" s="164" t="s">
        <v>311</v>
      </c>
      <c r="E23" s="163"/>
      <c r="F23" s="163"/>
      <c r="G23" s="163"/>
    </row>
    <row r="24" spans="2:18" ht="15.75" x14ac:dyDescent="0.25">
      <c r="C24" s="164" t="s">
        <v>301</v>
      </c>
      <c r="D24" s="164" t="s">
        <v>347</v>
      </c>
      <c r="F24" s="165"/>
      <c r="G24" s="165"/>
    </row>
    <row r="25" spans="2:18" ht="15.75" x14ac:dyDescent="0.25">
      <c r="C25" s="164" t="s">
        <v>302</v>
      </c>
      <c r="D25" s="164" t="s">
        <v>307</v>
      </c>
      <c r="F25" s="165"/>
      <c r="G25" s="165"/>
    </row>
    <row r="26" spans="2:18" ht="15.75" x14ac:dyDescent="0.25">
      <c r="C26" s="164" t="s">
        <v>303</v>
      </c>
      <c r="D26" s="164" t="s">
        <v>121</v>
      </c>
      <c r="F26" s="165"/>
      <c r="G26" s="165"/>
    </row>
    <row r="27" spans="2:18" ht="15.75" x14ac:dyDescent="0.25">
      <c r="C27" s="164" t="s">
        <v>304</v>
      </c>
      <c r="D27" s="164" t="s">
        <v>308</v>
      </c>
      <c r="F27" s="165"/>
      <c r="G27" s="165"/>
    </row>
    <row r="28" spans="2:18" ht="15.75" x14ac:dyDescent="0.25">
      <c r="C28" s="164" t="s">
        <v>305</v>
      </c>
      <c r="D28" s="164" t="s">
        <v>309</v>
      </c>
      <c r="F28" s="165"/>
      <c r="G28" s="165"/>
    </row>
    <row r="29" spans="2:18" ht="15.75" x14ac:dyDescent="0.25">
      <c r="C29" s="164" t="s">
        <v>306</v>
      </c>
      <c r="D29" s="164" t="s">
        <v>310</v>
      </c>
      <c r="F29" s="165"/>
      <c r="G29" s="165"/>
    </row>
    <row r="30" spans="2:18" ht="15.75" x14ac:dyDescent="0.25">
      <c r="C30" s="162"/>
      <c r="F30" s="165"/>
      <c r="G30" s="165"/>
    </row>
    <row r="31" spans="2:18" ht="15.75" x14ac:dyDescent="0.25">
      <c r="C31" s="162"/>
      <c r="D31" s="165"/>
      <c r="E31" s="165"/>
      <c r="F31" s="165"/>
      <c r="G31" s="165"/>
    </row>
    <row r="32" spans="2:18" ht="15.75" x14ac:dyDescent="0.25">
      <c r="D32" s="163"/>
      <c r="E32" s="163"/>
      <c r="F32" s="163"/>
      <c r="G32" s="163"/>
    </row>
  </sheetData>
  <mergeCells count="1">
    <mergeCell ref="C18:R19"/>
  </mergeCells>
  <phoneticPr fontId="20" type="noConversion"/>
  <hyperlinks>
    <hyperlink ref="C24" location="'KPIs eficiencia '!A1" display="Hoja 1" xr:uid="{74EF4A07-BB96-4765-806E-F86223A4EED2}"/>
    <hyperlink ref="D24" location="'Informe de efectividad '!A1" display="Informe de efectividad" xr:uid="{2258A971-935B-42FE-A279-C7801C47A543}"/>
    <hyperlink ref="C25" location="'Anexo KPIs recomendados'!A1" display="Hoja 2" xr:uid="{6E710FE7-5440-42B7-9162-974CAA0A6693}"/>
    <hyperlink ref="D25" location="'Anexo KPIs recomendados'!A1" display="Anexo KPIs recomendados" xr:uid="{D0171774-6177-4BB1-88B0-6D6E51EC3E92}"/>
    <hyperlink ref="C26" location="Proyecciones!A1" display="Hoja 3" xr:uid="{5CD15BB9-CDF4-4ED0-ADA9-9308DF034D58}"/>
    <hyperlink ref="D26" location="Proyecciones!A1" display="Proyecciones" xr:uid="{DA7C7582-0ED7-4406-A038-D2216F0D2C6F}"/>
    <hyperlink ref="C27" location="'Inputs &amp; assumptions'!A1" display="Hoja 4" xr:uid="{9ED142CE-D309-45FA-AFE3-A2F182388795}"/>
    <hyperlink ref="D27" location="'Inputs &amp; assumptions'!A1" display="Inpus &amp; assumptions" xr:uid="{D576CA61-6069-43D5-8DCD-848542A87C05}"/>
    <hyperlink ref="C28" location="'Proyección presup. desglosado'!A1" display="Hoja 5" xr:uid="{8E61D0E4-74BE-48A9-8ED0-4690EFFAE76F}"/>
    <hyperlink ref="D28" location="'Proyección presup. desglosado'!A1" display="Proyección presupuesto desglosado" xr:uid="{B483C26D-75DE-45CC-ABA1-49077DB6CAFD}"/>
    <hyperlink ref="C29" location="'Tabla dinámica presupuestos'!A1" display="Hoja 6" xr:uid="{F0F68438-9022-4485-B36D-A65188C0EF99}"/>
    <hyperlink ref="D29" location="'Tabla dinámica presupuestos'!A1" display="Tabla dinámica presupuesto" xr:uid="{35130067-38FB-494D-8C0A-CCB5FB59B85F}"/>
    <hyperlink ref="C23" location="Metodología!A1" display="Hoja 1" xr:uid="{53F450A0-840E-4DEE-9C14-F22F66CE6DDF}"/>
    <hyperlink ref="D23" location="Metodología!A1" display="Metodología" xr:uid="{EA18C5FB-A662-4398-A5C3-CF228AB5BAA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EA19-0768-480F-B2BB-359A7EC9D4B8}">
  <sheetPr>
    <tabColor theme="5" tint="0.79998168889431442"/>
  </sheetPr>
  <dimension ref="B2:L24"/>
  <sheetViews>
    <sheetView showGridLines="0" workbookViewId="0"/>
  </sheetViews>
  <sheetFormatPr baseColWidth="10" defaultRowHeight="15" x14ac:dyDescent="0.25"/>
  <cols>
    <col min="1" max="1" width="3" customWidth="1"/>
    <col min="2" max="2" width="2.42578125" customWidth="1"/>
    <col min="3" max="3" width="133.5703125" customWidth="1"/>
  </cols>
  <sheetData>
    <row r="2" spans="2:12" ht="18.75" x14ac:dyDescent="0.3">
      <c r="B2" s="166" t="s">
        <v>311</v>
      </c>
    </row>
    <row r="3" spans="2:12" ht="9.75" customHeight="1" x14ac:dyDescent="0.3">
      <c r="B3" s="166"/>
    </row>
    <row r="4" spans="2:12" ht="45" x14ac:dyDescent="0.3">
      <c r="B4" s="166"/>
      <c r="C4" s="169" t="s">
        <v>342</v>
      </c>
    </row>
    <row r="5" spans="2:12" ht="11.25" customHeight="1" x14ac:dyDescent="0.3">
      <c r="B5" s="166"/>
      <c r="C5" s="168"/>
    </row>
    <row r="6" spans="2:12" ht="18.75" x14ac:dyDescent="0.3">
      <c r="B6" s="166"/>
      <c r="C6" s="170" t="s">
        <v>5</v>
      </c>
    </row>
    <row r="7" spans="2:12" ht="45.75" x14ac:dyDescent="0.3">
      <c r="B7" s="166"/>
      <c r="C7" s="168" t="s">
        <v>349</v>
      </c>
    </row>
    <row r="8" spans="2:12" ht="18.75" x14ac:dyDescent="0.3">
      <c r="B8" s="166"/>
      <c r="C8" s="171" t="s">
        <v>314</v>
      </c>
    </row>
    <row r="9" spans="2:12" ht="15" customHeight="1" x14ac:dyDescent="0.3">
      <c r="B9" s="166"/>
      <c r="C9" s="168"/>
    </row>
    <row r="10" spans="2:12" ht="18.75" x14ac:dyDescent="0.3">
      <c r="B10" s="166"/>
      <c r="C10" s="170" t="s">
        <v>312</v>
      </c>
    </row>
    <row r="11" spans="2:12" ht="61.5" customHeight="1" x14ac:dyDescent="0.3">
      <c r="B11" s="166"/>
      <c r="C11" s="168" t="s">
        <v>350</v>
      </c>
    </row>
    <row r="12" spans="2:12" ht="18.75" x14ac:dyDescent="0.3">
      <c r="B12" s="166"/>
      <c r="C12" s="171" t="s">
        <v>315</v>
      </c>
    </row>
    <row r="13" spans="2:12" ht="18.75" x14ac:dyDescent="0.3">
      <c r="B13" s="166"/>
    </row>
    <row r="14" spans="2:12" ht="18.75" x14ac:dyDescent="0.3">
      <c r="B14" s="166"/>
      <c r="C14" s="170" t="s">
        <v>316</v>
      </c>
      <c r="D14" s="167"/>
      <c r="E14" s="167"/>
      <c r="F14" s="167"/>
      <c r="G14" s="167"/>
      <c r="H14" s="167"/>
      <c r="I14" s="167"/>
      <c r="J14" s="167"/>
      <c r="K14" s="167"/>
      <c r="L14" s="167"/>
    </row>
    <row r="15" spans="2:12" ht="60" x14ac:dyDescent="0.3">
      <c r="B15" s="166"/>
      <c r="C15" s="169" t="s">
        <v>317</v>
      </c>
      <c r="D15" s="167"/>
      <c r="E15" s="167"/>
      <c r="F15" s="167"/>
      <c r="G15" s="167"/>
      <c r="H15" s="167"/>
      <c r="I15" s="167"/>
      <c r="J15" s="167"/>
      <c r="K15" s="167"/>
      <c r="L15" s="167"/>
    </row>
    <row r="16" spans="2:12" ht="18.75" x14ac:dyDescent="0.3">
      <c r="B16" s="166"/>
      <c r="C16" s="171" t="s">
        <v>314</v>
      </c>
      <c r="D16" s="167"/>
      <c r="E16" s="167"/>
      <c r="F16" s="167"/>
      <c r="G16" s="167"/>
      <c r="H16" s="167"/>
      <c r="I16" s="167"/>
      <c r="J16" s="167"/>
      <c r="K16" s="167"/>
      <c r="L16" s="167"/>
    </row>
    <row r="17" spans="2:12" ht="17.25" customHeight="1" x14ac:dyDescent="0.3">
      <c r="B17" s="166"/>
      <c r="C17" s="168"/>
      <c r="D17" s="167"/>
      <c r="E17" s="167"/>
      <c r="F17" s="167"/>
      <c r="G17" s="167"/>
      <c r="H17" s="167"/>
      <c r="I17" s="167"/>
      <c r="J17" s="167"/>
      <c r="K17" s="167"/>
      <c r="L17" s="167"/>
    </row>
    <row r="18" spans="2:12" ht="18.75" x14ac:dyDescent="0.3">
      <c r="B18" s="166"/>
      <c r="C18" s="170" t="s">
        <v>313</v>
      </c>
      <c r="D18" s="167"/>
      <c r="E18" s="167"/>
      <c r="F18" s="167"/>
      <c r="G18" s="167"/>
      <c r="H18" s="167"/>
      <c r="I18" s="167"/>
      <c r="J18" s="167"/>
      <c r="K18" s="167"/>
      <c r="L18" s="167"/>
    </row>
    <row r="19" spans="2:12" ht="90.75" x14ac:dyDescent="0.3">
      <c r="B19" s="166"/>
      <c r="C19" s="168" t="s">
        <v>362</v>
      </c>
      <c r="D19" s="167"/>
      <c r="E19" s="167"/>
      <c r="F19" s="167"/>
      <c r="G19" s="167"/>
      <c r="H19" s="167"/>
      <c r="I19" s="167"/>
      <c r="J19" s="167"/>
      <c r="K19" s="167"/>
      <c r="L19" s="167"/>
    </row>
    <row r="20" spans="2:12" ht="18.75" x14ac:dyDescent="0.3">
      <c r="B20" s="166"/>
      <c r="C20" s="171" t="s">
        <v>314</v>
      </c>
      <c r="D20" s="167"/>
      <c r="E20" s="167"/>
      <c r="F20" s="167"/>
      <c r="G20" s="167"/>
      <c r="H20" s="167"/>
      <c r="I20" s="167"/>
      <c r="J20" s="167"/>
      <c r="K20" s="167"/>
      <c r="L20" s="167"/>
    </row>
    <row r="21" spans="2:12" x14ac:dyDescent="0.25">
      <c r="D21" s="167"/>
      <c r="E21" s="167"/>
      <c r="F21" s="167"/>
      <c r="G21" s="167"/>
      <c r="H21" s="167"/>
      <c r="I21" s="167"/>
      <c r="J21" s="167"/>
      <c r="K21" s="167"/>
      <c r="L21" s="167"/>
    </row>
    <row r="23" spans="2:12" ht="39.75" customHeight="1" x14ac:dyDescent="0.25">
      <c r="C23" s="175" t="s">
        <v>343</v>
      </c>
    </row>
    <row r="24" spans="2:12" ht="35.25" customHeight="1" x14ac:dyDescent="0.25">
      <c r="C24" s="174" t="s">
        <v>344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CEAD-AABD-46B1-B2F0-B7EDD25C8742}">
  <sheetPr>
    <tabColor theme="8" tint="0.79998168889431442"/>
  </sheetPr>
  <dimension ref="B2:S59"/>
  <sheetViews>
    <sheetView showGridLines="0" zoomScale="70" zoomScaleNormal="70" workbookViewId="0">
      <pane xSplit="3" topLeftCell="D1" activePane="topRight" state="frozen"/>
      <selection pane="topRight"/>
    </sheetView>
  </sheetViews>
  <sheetFormatPr baseColWidth="10" defaultColWidth="11.42578125" defaultRowHeight="15" x14ac:dyDescent="0.25"/>
  <cols>
    <col min="1" max="2" width="3" customWidth="1"/>
    <col min="3" max="3" width="24.85546875" customWidth="1"/>
    <col min="4" max="4" width="26.28515625" customWidth="1"/>
    <col min="5" max="6" width="19.7109375" customWidth="1"/>
    <col min="7" max="7" width="19.7109375" style="2" customWidth="1"/>
    <col min="8" max="9" width="19.7109375" customWidth="1"/>
    <col min="10" max="10" width="19.7109375" style="2" customWidth="1"/>
    <col min="11" max="12" width="19.7109375" customWidth="1"/>
    <col min="13" max="13" width="19.7109375" style="2" customWidth="1"/>
    <col min="14" max="15" width="19.7109375" customWidth="1"/>
    <col min="16" max="16" width="19.7109375" style="2" customWidth="1"/>
    <col min="17" max="18" width="19.7109375" customWidth="1"/>
    <col min="19" max="19" width="19.7109375" style="2" customWidth="1"/>
  </cols>
  <sheetData>
    <row r="2" spans="2:19" ht="18.75" x14ac:dyDescent="0.3">
      <c r="B2" s="14" t="s">
        <v>341</v>
      </c>
    </row>
    <row r="3" spans="2:19" ht="10.5" customHeight="1" x14ac:dyDescent="0.3">
      <c r="B3" s="14"/>
    </row>
    <row r="4" spans="2:19" ht="15" customHeight="1" x14ac:dyDescent="0.25">
      <c r="C4" t="s">
        <v>345</v>
      </c>
      <c r="N4" s="2" t="s">
        <v>321</v>
      </c>
    </row>
    <row r="5" spans="2:19" ht="15" customHeight="1" x14ac:dyDescent="0.25">
      <c r="C5" t="s">
        <v>325</v>
      </c>
      <c r="N5" s="176" t="s">
        <v>322</v>
      </c>
    </row>
    <row r="6" spans="2:19" x14ac:dyDescent="0.25">
      <c r="C6" t="s">
        <v>327</v>
      </c>
      <c r="N6" s="177" t="s">
        <v>323</v>
      </c>
    </row>
    <row r="7" spans="2:19" s="67" customFormat="1" x14ac:dyDescent="0.25">
      <c r="C7" t="s">
        <v>326</v>
      </c>
      <c r="D7" s="173"/>
      <c r="E7" s="173"/>
      <c r="F7" s="173"/>
      <c r="G7" s="173"/>
      <c r="H7" s="173"/>
      <c r="I7" s="173"/>
      <c r="J7" s="173"/>
      <c r="K7" s="173"/>
      <c r="L7" s="173"/>
      <c r="N7" s="178" t="s">
        <v>324</v>
      </c>
      <c r="P7" s="172"/>
      <c r="S7" s="172"/>
    </row>
    <row r="8" spans="2:19" x14ac:dyDescent="0.25">
      <c r="C8" t="s">
        <v>320</v>
      </c>
    </row>
    <row r="10" spans="2:19" x14ac:dyDescent="0.25">
      <c r="C10" s="5" t="s">
        <v>328</v>
      </c>
      <c r="D10" t="s">
        <v>331</v>
      </c>
    </row>
    <row r="11" spans="2:19" ht="15.75" thickBot="1" x14ac:dyDescent="0.3">
      <c r="C11" s="181" t="s">
        <v>329</v>
      </c>
      <c r="D11" t="s">
        <v>330</v>
      </c>
    </row>
    <row r="12" spans="2:19" ht="19.5" customHeight="1" thickTop="1" x14ac:dyDescent="0.25"/>
    <row r="13" spans="2:19" s="37" customFormat="1" ht="3.75" customHeight="1" x14ac:dyDescent="0.25">
      <c r="E13" s="37">
        <v>2</v>
      </c>
      <c r="G13" s="142"/>
      <c r="H13" s="37">
        <v>3</v>
      </c>
      <c r="J13" s="142"/>
      <c r="K13" s="37">
        <v>4</v>
      </c>
      <c r="M13" s="142"/>
      <c r="N13" s="37">
        <v>5</v>
      </c>
      <c r="P13" s="142"/>
      <c r="Q13" s="37">
        <v>6</v>
      </c>
      <c r="S13" s="142"/>
    </row>
    <row r="14" spans="2:19" x14ac:dyDescent="0.25">
      <c r="C14" s="255" t="s">
        <v>0</v>
      </c>
      <c r="D14" s="256" t="s">
        <v>1</v>
      </c>
      <c r="E14" s="249" t="s">
        <v>335</v>
      </c>
      <c r="F14" s="249"/>
      <c r="G14" s="249"/>
      <c r="H14" s="249" t="s">
        <v>336</v>
      </c>
      <c r="I14" s="249"/>
      <c r="J14" s="249"/>
      <c r="K14" s="253" t="s">
        <v>337</v>
      </c>
      <c r="L14" s="254"/>
      <c r="M14" s="254"/>
      <c r="N14" s="253" t="s">
        <v>338</v>
      </c>
      <c r="O14" s="254"/>
      <c r="P14" s="254"/>
      <c r="Q14" s="249" t="s">
        <v>339</v>
      </c>
      <c r="R14" s="249"/>
      <c r="S14" s="249"/>
    </row>
    <row r="15" spans="2:19" x14ac:dyDescent="0.25">
      <c r="C15" s="255"/>
      <c r="D15" s="257"/>
      <c r="E15" s="113" t="s">
        <v>2</v>
      </c>
      <c r="F15" s="113" t="s">
        <v>3</v>
      </c>
      <c r="G15" s="114" t="s">
        <v>294</v>
      </c>
      <c r="H15" s="113" t="s">
        <v>2</v>
      </c>
      <c r="I15" s="113" t="s">
        <v>3</v>
      </c>
      <c r="J15" s="114" t="s">
        <v>294</v>
      </c>
      <c r="K15" s="113" t="s">
        <v>2</v>
      </c>
      <c r="L15" s="113" t="s">
        <v>3</v>
      </c>
      <c r="M15" s="114" t="s">
        <v>294</v>
      </c>
      <c r="N15" s="113" t="s">
        <v>2</v>
      </c>
      <c r="O15" s="113" t="s">
        <v>3</v>
      </c>
      <c r="P15" s="114" t="s">
        <v>294</v>
      </c>
      <c r="Q15" s="113" t="s">
        <v>2</v>
      </c>
      <c r="R15" s="113" t="s">
        <v>3</v>
      </c>
      <c r="S15" s="114" t="s">
        <v>294</v>
      </c>
    </row>
    <row r="16" spans="2:19" ht="21" customHeight="1" thickBot="1" x14ac:dyDescent="0.3">
      <c r="C16" s="250" t="s">
        <v>4</v>
      </c>
      <c r="D16" s="3" t="s">
        <v>5</v>
      </c>
      <c r="E16" s="145">
        <f>VLOOKUP($C16,Proyecciones!$C$7:$I$21,E$13,FALSE)</f>
        <v>471318.8123489017</v>
      </c>
      <c r="F16" s="179"/>
      <c r="G16" s="147">
        <f>F16/E16</f>
        <v>0</v>
      </c>
      <c r="H16" s="146">
        <f>VLOOKUP($C16,Proyecciones!$C$7:$I$21,H$13,FALSE)</f>
        <v>589172</v>
      </c>
      <c r="I16" s="180"/>
      <c r="J16" s="147">
        <f>I16/H16</f>
        <v>0</v>
      </c>
      <c r="K16" s="146">
        <f>VLOOKUP($C16,Proyecciones!$C$7:$I$21,K$13,FALSE)</f>
        <v>615216.35512019729</v>
      </c>
      <c r="L16" s="180"/>
      <c r="M16" s="147">
        <f>L16/K16</f>
        <v>0</v>
      </c>
      <c r="N16" s="146">
        <f>VLOOKUP($C16,Proyecciones!$C$7:$I$21,N$13,FALSE)</f>
        <v>642412.00126173801</v>
      </c>
      <c r="O16" s="180"/>
      <c r="P16" s="147">
        <f>O16/N16</f>
        <v>0</v>
      </c>
      <c r="Q16" s="146">
        <f>VLOOKUP($C16,Proyecciones!$C$7:$I$21,Q$13,FALSE)</f>
        <v>670809.83125762595</v>
      </c>
      <c r="R16" s="148"/>
      <c r="S16" s="149">
        <f>R16/Q16</f>
        <v>0</v>
      </c>
    </row>
    <row r="17" spans="3:19" ht="21.6" customHeight="1" thickTop="1" thickBot="1" x14ac:dyDescent="0.3">
      <c r="C17" s="251"/>
      <c r="D17" s="144" t="s">
        <v>6</v>
      </c>
      <c r="E17" s="150">
        <f>VLOOKUP($C16,Proyecciones!$C$40:$I$50,E$13,FALSE)</f>
        <v>1179004.3611764705</v>
      </c>
      <c r="F17" s="180"/>
      <c r="G17" s="147">
        <f t="shared" ref="G17:G50" si="0">F17/E17</f>
        <v>0</v>
      </c>
      <c r="H17" s="150">
        <f>VLOOKUP($C16,Proyecciones!$C$40:$I$50,H$13,FALSE)</f>
        <v>1224705.8823529412</v>
      </c>
      <c r="I17" s="180"/>
      <c r="J17" s="147">
        <f t="shared" ref="J17:J54" si="1">I17/H17</f>
        <v>0</v>
      </c>
      <c r="K17" s="150">
        <f>VLOOKUP($C16,Proyecciones!$C$40:$I$50,K$13,FALSE)</f>
        <v>1333817.6470588236</v>
      </c>
      <c r="L17" s="180"/>
      <c r="M17" s="147">
        <f t="shared" ref="M17:M54" si="2">L17/K17</f>
        <v>0</v>
      </c>
      <c r="N17" s="150">
        <f>VLOOKUP($C16,Proyecciones!$C$40:$I$50,N$13,FALSE)</f>
        <v>1482039.6676470588</v>
      </c>
      <c r="O17" s="180"/>
      <c r="P17" s="147">
        <f t="shared" ref="P17:P54" si="3">O17/N17</f>
        <v>0</v>
      </c>
      <c r="Q17" s="150">
        <f>VLOOKUP($C16,Proyecciones!$C$40:$I$50,Q$13,FALSE)</f>
        <v>1630323.6928086691</v>
      </c>
      <c r="R17" s="148"/>
      <c r="S17" s="149">
        <f t="shared" ref="S17:S54" si="4">R17/Q17</f>
        <v>0</v>
      </c>
    </row>
    <row r="18" spans="3:19" ht="21.6" customHeight="1" thickTop="1" thickBot="1" x14ac:dyDescent="0.3">
      <c r="C18" s="251"/>
      <c r="D18" s="144" t="s">
        <v>292</v>
      </c>
      <c r="E18" s="150">
        <f>VLOOKUP($C16,Proyecciones!$C$62:$I$74,E$13,FALSE)</f>
        <v>212142070.95097908</v>
      </c>
      <c r="F18" s="180"/>
      <c r="G18" s="147">
        <f t="shared" si="0"/>
        <v>0</v>
      </c>
      <c r="H18" s="150">
        <f>VLOOKUP($C16,Proyecciones!$C$62:$I$74,H$13,FALSE)</f>
        <v>251341708.90419468</v>
      </c>
      <c r="I18" s="180"/>
      <c r="J18" s="147">
        <f t="shared" si="1"/>
        <v>0</v>
      </c>
      <c r="K18" s="150">
        <f>VLOOKUP($C16,Proyecciones!$C$62:$I$74,K$13,FALSE)</f>
        <v>312212715.07202369</v>
      </c>
      <c r="L18" s="180"/>
      <c r="M18" s="147">
        <f t="shared" si="2"/>
        <v>0</v>
      </c>
      <c r="N18" s="150">
        <f>VLOOKUP($C16,Proyecciones!$C$62:$I$74,N$13,FALSE)</f>
        <v>395672003.54912692</v>
      </c>
      <c r="O18" s="180"/>
      <c r="P18" s="147">
        <f t="shared" si="3"/>
        <v>0</v>
      </c>
      <c r="Q18" s="150">
        <f>VLOOKUP($C16,Proyecciones!$C$62:$I$74,Q$13,FALSE)</f>
        <v>496444497.43942118</v>
      </c>
      <c r="R18" s="148"/>
      <c r="S18" s="149">
        <f t="shared" si="4"/>
        <v>0</v>
      </c>
    </row>
    <row r="19" spans="3:19" ht="21.6" customHeight="1" thickTop="1" thickBot="1" x14ac:dyDescent="0.3">
      <c r="C19" s="252"/>
      <c r="D19" s="144" t="s">
        <v>293</v>
      </c>
      <c r="E19" s="151">
        <f>VLOOKUP($C16,Proyecciones!$C$26:$I$35,E$13,FALSE)</f>
        <v>179.93323683662453</v>
      </c>
      <c r="F19" s="180"/>
      <c r="G19" s="147">
        <f t="shared" si="0"/>
        <v>0</v>
      </c>
      <c r="H19" s="151">
        <f>VLOOKUP($C16,Proyecciones!$C$26:$I$35,H$13,FALSE)</f>
        <v>205.22617922052399</v>
      </c>
      <c r="I19" s="180"/>
      <c r="J19" s="147">
        <f t="shared" si="1"/>
        <v>0</v>
      </c>
      <c r="K19" s="151">
        <f>VLOOKUP($C16,Proyecciones!$C$26:$I$35,K$13,FALSE)</f>
        <v>234.07451217974068</v>
      </c>
      <c r="L19" s="180"/>
      <c r="M19" s="147">
        <f t="shared" si="2"/>
        <v>0</v>
      </c>
      <c r="N19" s="151">
        <f>VLOOKUP($C16,Proyecciones!$C$26:$I$35,N$13,FALSE)</f>
        <v>266.9780115786715</v>
      </c>
      <c r="O19" s="180"/>
      <c r="P19" s="147">
        <f t="shared" si="3"/>
        <v>0</v>
      </c>
      <c r="Q19" s="151">
        <f>VLOOKUP($C16,Proyecciones!$C$26:$I$35,Q$13,FALSE)</f>
        <v>304.50670601747964</v>
      </c>
      <c r="R19" s="148"/>
      <c r="S19" s="149">
        <f t="shared" si="4"/>
        <v>0</v>
      </c>
    </row>
    <row r="20" spans="3:19" ht="21.6" customHeight="1" thickTop="1" thickBot="1" x14ac:dyDescent="0.3">
      <c r="C20" s="250" t="s">
        <v>7</v>
      </c>
      <c r="D20" s="144" t="s">
        <v>5</v>
      </c>
      <c r="E20" s="146">
        <f>VLOOKUP($C20,Proyecciones!$C$7:$I$21,E$13,FALSE)</f>
        <v>78196.8244148698</v>
      </c>
      <c r="F20" s="180"/>
      <c r="G20" s="147">
        <f t="shared" si="0"/>
        <v>0</v>
      </c>
      <c r="H20" s="146">
        <f>VLOOKUP($C20,Proyecciones!$C$7:$I$21,H$13,FALSE)</f>
        <v>81281</v>
      </c>
      <c r="I20" s="180"/>
      <c r="J20" s="147">
        <f t="shared" si="1"/>
        <v>0</v>
      </c>
      <c r="K20" s="146">
        <f>VLOOKUP($C20,Proyecciones!$C$7:$I$21,K$13,FALSE)</f>
        <v>84742.686082807864</v>
      </c>
      <c r="L20" s="180"/>
      <c r="M20" s="147">
        <f t="shared" si="2"/>
        <v>0</v>
      </c>
      <c r="N20" s="146">
        <f>VLOOKUP($C20,Proyecciones!$C$7:$I$21,N$13,FALSE)</f>
        <v>88351.80232193647</v>
      </c>
      <c r="O20" s="180"/>
      <c r="P20" s="147">
        <f t="shared" si="3"/>
        <v>0</v>
      </c>
      <c r="Q20" s="146">
        <f>VLOOKUP($C20,Proyecciones!$C$7:$I$21,Q$13,FALSE)</f>
        <v>92114.627637678641</v>
      </c>
      <c r="R20" s="148"/>
      <c r="S20" s="149">
        <f t="shared" si="4"/>
        <v>0</v>
      </c>
    </row>
    <row r="21" spans="3:19" ht="21.6" customHeight="1" thickTop="1" thickBot="1" x14ac:dyDescent="0.3">
      <c r="C21" s="251"/>
      <c r="D21" s="144" t="s">
        <v>6</v>
      </c>
      <c r="E21" s="150">
        <f>VLOOKUP($C20,Proyecciones!$C$40:$I$50,E$13,FALSE)</f>
        <v>635605.32941176475</v>
      </c>
      <c r="F21" s="180"/>
      <c r="G21" s="147">
        <f t="shared" si="0"/>
        <v>0</v>
      </c>
      <c r="H21" s="150">
        <f>VLOOKUP($C20,Proyecciones!$C$40:$I$50,H$13,FALSE)</f>
        <v>735294.1176470588</v>
      </c>
      <c r="I21" s="180"/>
      <c r="J21" s="147">
        <f t="shared" si="1"/>
        <v>0</v>
      </c>
      <c r="K21" s="150">
        <f>VLOOKUP($C20,Proyecciones!$C$40:$I$50,K$13,FALSE)</f>
        <v>807682.3529411765</v>
      </c>
      <c r="L21" s="180"/>
      <c r="M21" s="147">
        <f t="shared" si="2"/>
        <v>0</v>
      </c>
      <c r="N21" s="150">
        <f>VLOOKUP($C20,Proyecciones!$C$40:$I$50,N$13,FALSE)</f>
        <v>909476.48235294118</v>
      </c>
      <c r="O21" s="180"/>
      <c r="P21" s="147">
        <f t="shared" si="3"/>
        <v>0</v>
      </c>
      <c r="Q21" s="150">
        <f>VLOOKUP($C20,Proyecciones!$C$40:$I$50,Q$13,FALSE)</f>
        <v>1024847.9918810936</v>
      </c>
      <c r="R21" s="148"/>
      <c r="S21" s="149">
        <f t="shared" si="4"/>
        <v>0</v>
      </c>
    </row>
    <row r="22" spans="3:19" ht="21.6" customHeight="1" thickTop="1" thickBot="1" x14ac:dyDescent="0.3">
      <c r="C22" s="251"/>
      <c r="D22" s="144" t="s">
        <v>292</v>
      </c>
      <c r="E22" s="150">
        <f>VLOOKUP($C20,Proyecciones!$C$62:$I$74,E$13,FALSE)</f>
        <v>95470955.84470354</v>
      </c>
      <c r="F22" s="180"/>
      <c r="G22" s="147">
        <f t="shared" si="0"/>
        <v>0</v>
      </c>
      <c r="H22" s="150">
        <f>VLOOKUP($C20,Proyecciones!$C$62:$I$74,H$13,FALSE)</f>
        <v>110444687.90675506</v>
      </c>
      <c r="I22" s="180"/>
      <c r="J22" s="147">
        <f t="shared" si="1"/>
        <v>0</v>
      </c>
      <c r="K22" s="150">
        <f>VLOOKUP($C20,Proyecciones!$C$62:$I$74,K$13,FALSE)</f>
        <v>121317746.54179929</v>
      </c>
      <c r="L22" s="180"/>
      <c r="M22" s="147">
        <f t="shared" si="2"/>
        <v>0</v>
      </c>
      <c r="N22" s="150">
        <f>VLOOKUP($C20,Proyecciones!$C$62:$I$74,N$13,FALSE)</f>
        <v>136607710.90272546</v>
      </c>
      <c r="O22" s="180"/>
      <c r="P22" s="147">
        <f t="shared" si="3"/>
        <v>0</v>
      </c>
      <c r="Q22" s="150">
        <f>VLOOKUP($C20,Proyecciones!$C$62:$I$74,Q$13,FALSE)</f>
        <v>153937062.59663397</v>
      </c>
      <c r="R22" s="148"/>
      <c r="S22" s="149">
        <f t="shared" si="4"/>
        <v>0</v>
      </c>
    </row>
    <row r="23" spans="3:19" ht="21.6" customHeight="1" thickTop="1" thickBot="1" x14ac:dyDescent="0.3">
      <c r="C23" s="252"/>
      <c r="D23" s="144" t="s">
        <v>293</v>
      </c>
      <c r="E23" s="151">
        <f>VLOOKUP($C20,Proyecciones!$C$26:$I$35,E$13,FALSE)</f>
        <v>150.20477555318689</v>
      </c>
      <c r="F23" s="180"/>
      <c r="G23" s="147">
        <f t="shared" si="0"/>
        <v>0</v>
      </c>
      <c r="H23" s="151">
        <f>VLOOKUP($C20,Proyecciones!$C$26:$I$35,H$13,FALSE)</f>
        <v>150.20477555318689</v>
      </c>
      <c r="I23" s="180"/>
      <c r="J23" s="147">
        <f t="shared" si="1"/>
        <v>0</v>
      </c>
      <c r="K23" s="151">
        <f>VLOOKUP($C20,Proyecciones!$C$26:$I$35,K$13,FALSE)</f>
        <v>150.20477555318689</v>
      </c>
      <c r="L23" s="180"/>
      <c r="M23" s="147">
        <f t="shared" si="2"/>
        <v>0</v>
      </c>
      <c r="N23" s="151">
        <f>VLOOKUP($C20,Proyecciones!$C$26:$I$35,N$13,FALSE)</f>
        <v>150.20477555318689</v>
      </c>
      <c r="O23" s="180"/>
      <c r="P23" s="147">
        <f t="shared" si="3"/>
        <v>0</v>
      </c>
      <c r="Q23" s="151">
        <f>VLOOKUP($C20,Proyecciones!$C$26:$I$35,Q$13,FALSE)</f>
        <v>150.20477555318689</v>
      </c>
      <c r="R23" s="148"/>
      <c r="S23" s="149">
        <f t="shared" si="4"/>
        <v>0</v>
      </c>
    </row>
    <row r="24" spans="3:19" ht="21.6" customHeight="1" thickTop="1" thickBot="1" x14ac:dyDescent="0.3">
      <c r="C24" s="248" t="s">
        <v>8</v>
      </c>
      <c r="D24" s="144" t="s">
        <v>5</v>
      </c>
      <c r="E24" s="146">
        <f>VLOOKUP($C24,Proyecciones!$C$7:$I$21,E$13,FALSE)</f>
        <v>48671.443129554027</v>
      </c>
      <c r="F24" s="180"/>
      <c r="G24" s="147">
        <f t="shared" si="0"/>
        <v>0</v>
      </c>
      <c r="H24" s="146">
        <f>VLOOKUP($C24,Proyecciones!$C$7:$I$21,H$13,FALSE)</f>
        <v>57988</v>
      </c>
      <c r="I24" s="180"/>
      <c r="J24" s="147">
        <f t="shared" si="1"/>
        <v>0</v>
      </c>
      <c r="K24" s="146">
        <f>VLOOKUP($C24,Proyecciones!$C$7:$I$21,K$13,FALSE)</f>
        <v>61616.640073693401</v>
      </c>
      <c r="L24" s="180"/>
      <c r="M24" s="147">
        <f t="shared" si="2"/>
        <v>0</v>
      </c>
      <c r="N24" s="146">
        <f>VLOOKUP($C24,Proyecciones!$C$7:$I$21,N$13,FALSE)</f>
        <v>65472.344863955987</v>
      </c>
      <c r="O24" s="180"/>
      <c r="P24" s="147">
        <f t="shared" si="3"/>
        <v>0</v>
      </c>
      <c r="Q24" s="146">
        <f>VLOOKUP($C24,Proyecciones!$C$7:$I$21,Q$13,FALSE)</f>
        <v>69569.323105868534</v>
      </c>
      <c r="R24" s="148"/>
      <c r="S24" s="149">
        <f t="shared" si="4"/>
        <v>0</v>
      </c>
    </row>
    <row r="25" spans="3:19" ht="21.6" customHeight="1" thickTop="1" thickBot="1" x14ac:dyDescent="0.3">
      <c r="C25" s="248"/>
      <c r="D25" s="3" t="s">
        <v>6</v>
      </c>
      <c r="E25" s="150">
        <f>VLOOKUP($C24,Proyecciones!$C$40:$I$50,E$13,FALSE)</f>
        <v>559959.66117647057</v>
      </c>
      <c r="F25" s="180"/>
      <c r="G25" s="147">
        <f t="shared" si="0"/>
        <v>0</v>
      </c>
      <c r="H25" s="150">
        <f>VLOOKUP($C24,Proyecciones!$C$40:$I$50,H$13,FALSE)</f>
        <v>655294.1176470588</v>
      </c>
      <c r="I25" s="180"/>
      <c r="J25" s="147">
        <f t="shared" si="1"/>
        <v>0</v>
      </c>
      <c r="K25" s="150">
        <f>VLOOKUP($C24,Proyecciones!$C$40:$I$50,K$13,FALSE)</f>
        <v>724541.17647058819</v>
      </c>
      <c r="L25" s="180"/>
      <c r="M25" s="147">
        <f t="shared" si="2"/>
        <v>0</v>
      </c>
      <c r="N25" s="150">
        <f>VLOOKUP($C24,Proyecciones!$C$40:$I$50,N$13,FALSE)</f>
        <v>822855.26470588241</v>
      </c>
      <c r="O25" s="180"/>
      <c r="P25" s="147">
        <f t="shared" si="3"/>
        <v>0</v>
      </c>
      <c r="Q25" s="150">
        <f>VLOOKUP($C24,Proyecciones!$C$40:$I$50,Q$13,FALSE)</f>
        <v>935504.08626122365</v>
      </c>
      <c r="R25" s="148"/>
      <c r="S25" s="149">
        <f t="shared" si="4"/>
        <v>0</v>
      </c>
    </row>
    <row r="26" spans="3:19" ht="21.6" customHeight="1" thickTop="1" thickBot="1" x14ac:dyDescent="0.3">
      <c r="C26" s="248"/>
      <c r="D26" s="3" t="s">
        <v>292</v>
      </c>
      <c r="E26" s="150">
        <f>VLOOKUP($C24,Proyecciones!$C$62:$I$74,E$13,FALSE)</f>
        <v>67636783.713020325</v>
      </c>
      <c r="F26" s="180"/>
      <c r="G26" s="147">
        <f t="shared" si="0"/>
        <v>0</v>
      </c>
      <c r="H26" s="150">
        <f>VLOOKUP($C24,Proyecciones!$C$62:$I$74,H$13,FALSE)</f>
        <v>79152106.08312121</v>
      </c>
      <c r="I26" s="180"/>
      <c r="J26" s="147">
        <f t="shared" si="1"/>
        <v>0</v>
      </c>
      <c r="K26" s="150">
        <f>VLOOKUP($C24,Proyecciones!$C$62:$I$74,K$13,FALSE)</f>
        <v>87516366.34174332</v>
      </c>
      <c r="L26" s="180"/>
      <c r="M26" s="147">
        <f t="shared" si="2"/>
        <v>0</v>
      </c>
      <c r="N26" s="150">
        <f>VLOOKUP($C24,Proyecciones!$C$62:$I$74,N$13,FALSE)</f>
        <v>99391594.475038737</v>
      </c>
      <c r="O26" s="180"/>
      <c r="P26" s="147">
        <f t="shared" si="3"/>
        <v>0</v>
      </c>
      <c r="Q26" s="150">
        <f>VLOOKUP($C24,Proyecciones!$C$62:$I$74,Q$13,FALSE)</f>
        <v>112998296.00610502</v>
      </c>
      <c r="R26" s="148"/>
      <c r="S26" s="149">
        <f t="shared" si="4"/>
        <v>0</v>
      </c>
    </row>
    <row r="27" spans="3:19" ht="21.6" customHeight="1" thickTop="1" thickBot="1" x14ac:dyDescent="0.3">
      <c r="C27" s="248"/>
      <c r="D27" s="3" t="s">
        <v>293</v>
      </c>
      <c r="E27" s="151">
        <f>VLOOKUP($C24,Proyecciones!$C$26:$I$35,E$13,FALSE)</f>
        <v>120.78867176059791</v>
      </c>
      <c r="F27" s="180"/>
      <c r="G27" s="147">
        <f t="shared" si="0"/>
        <v>0</v>
      </c>
      <c r="H27" s="151">
        <f>VLOOKUP($C24,Proyecciones!$C$26:$I$35,H$13,FALSE)</f>
        <v>120.78867176059791</v>
      </c>
      <c r="I27" s="180"/>
      <c r="J27" s="147">
        <f t="shared" si="1"/>
        <v>0</v>
      </c>
      <c r="K27" s="151">
        <f>VLOOKUP($C24,Proyecciones!$C$26:$I$35,K$13,FALSE)</f>
        <v>120.78867176059791</v>
      </c>
      <c r="L27" s="180"/>
      <c r="M27" s="147">
        <f t="shared" si="2"/>
        <v>0</v>
      </c>
      <c r="N27" s="151">
        <f>VLOOKUP($C24,Proyecciones!$C$26:$I$35,N$13,FALSE)</f>
        <v>120.78867176059791</v>
      </c>
      <c r="O27" s="180"/>
      <c r="P27" s="147">
        <f t="shared" si="3"/>
        <v>0</v>
      </c>
      <c r="Q27" s="151">
        <f>VLOOKUP($C24,Proyecciones!$C$26:$I$35,Q$13,FALSE)</f>
        <v>120.78867176059791</v>
      </c>
      <c r="R27" s="148"/>
      <c r="S27" s="149">
        <f t="shared" si="4"/>
        <v>0</v>
      </c>
    </row>
    <row r="28" spans="3:19" ht="21.6" customHeight="1" thickTop="1" thickBot="1" x14ac:dyDescent="0.3">
      <c r="C28" s="248" t="s">
        <v>9</v>
      </c>
      <c r="D28" s="3" t="s">
        <v>5</v>
      </c>
      <c r="E28" s="146">
        <f>VLOOKUP($C28,Proyecciones!$C$7:$I$21,E$13,FALSE)</f>
        <v>69539.504763347475</v>
      </c>
      <c r="F28" s="180"/>
      <c r="G28" s="147">
        <f t="shared" si="0"/>
        <v>0</v>
      </c>
      <c r="H28" s="146">
        <f>VLOOKUP($C28,Proyecciones!$C$7:$I$21,H$13,FALSE)</f>
        <v>87197</v>
      </c>
      <c r="I28" s="180"/>
      <c r="J28" s="147">
        <f t="shared" si="1"/>
        <v>0</v>
      </c>
      <c r="K28" s="146">
        <f>VLOOKUP($C28,Proyecciones!$C$7:$I$21,K$13,FALSE)</f>
        <v>92091.729234769402</v>
      </c>
      <c r="L28" s="180"/>
      <c r="M28" s="147">
        <f t="shared" si="2"/>
        <v>0</v>
      </c>
      <c r="N28" s="146">
        <f>VLOOKUP($C28,Proyecciones!$C$7:$I$21,N$13,FALSE)</f>
        <v>97261.219920984455</v>
      </c>
      <c r="O28" s="180"/>
      <c r="P28" s="147">
        <f t="shared" si="3"/>
        <v>0</v>
      </c>
      <c r="Q28" s="146">
        <f>VLOOKUP($C28,Proyecciones!$C$7:$I$21,Q$13,FALSE)</f>
        <v>102720.89555840981</v>
      </c>
      <c r="R28" s="148"/>
      <c r="S28" s="149">
        <f t="shared" si="4"/>
        <v>0</v>
      </c>
    </row>
    <row r="29" spans="3:19" ht="21.6" customHeight="1" thickTop="1" thickBot="1" x14ac:dyDescent="0.3">
      <c r="C29" s="248"/>
      <c r="D29" s="3" t="s">
        <v>6</v>
      </c>
      <c r="E29" s="150">
        <f>VLOOKUP($C28,Proyecciones!$C$40:$I$50,E$13,FALSE)</f>
        <v>339854.18352941179</v>
      </c>
      <c r="F29" s="180"/>
      <c r="G29" s="147">
        <f t="shared" si="0"/>
        <v>0</v>
      </c>
      <c r="H29" s="150">
        <f>VLOOKUP($C28,Proyecciones!$C$40:$I$50,H$13,FALSE)</f>
        <v>536470.5882352941</v>
      </c>
      <c r="I29" s="180"/>
      <c r="J29" s="147">
        <f t="shared" si="1"/>
        <v>0</v>
      </c>
      <c r="K29" s="150">
        <f>VLOOKUP($C28,Proyecciones!$C$40:$I$50,K$13,FALSE)</f>
        <v>596594.1176470588</v>
      </c>
      <c r="L29" s="180"/>
      <c r="M29" s="147">
        <f t="shared" si="2"/>
        <v>0</v>
      </c>
      <c r="N29" s="150">
        <f>VLOOKUP($C28,Proyecciones!$C$40:$I$50,N$13,FALSE)</f>
        <v>783204.66529411764</v>
      </c>
      <c r="O29" s="180"/>
      <c r="P29" s="147">
        <f t="shared" si="3"/>
        <v>0</v>
      </c>
      <c r="Q29" s="150">
        <f>VLOOKUP($C28,Proyecciones!$C$40:$I$50,Q$13,FALSE)</f>
        <v>1034513.4645967002</v>
      </c>
      <c r="R29" s="148"/>
      <c r="S29" s="149">
        <f t="shared" si="4"/>
        <v>0</v>
      </c>
    </row>
    <row r="30" spans="3:19" ht="21.6" customHeight="1" thickTop="1" thickBot="1" x14ac:dyDescent="0.3">
      <c r="C30" s="248"/>
      <c r="D30" s="3" t="s">
        <v>292</v>
      </c>
      <c r="E30" s="150">
        <f>VLOOKUP($C28,Proyecciones!$C$62:$I$74,E$13,FALSE)</f>
        <v>58878562.721876301</v>
      </c>
      <c r="F30" s="180"/>
      <c r="G30" s="147">
        <f t="shared" si="0"/>
        <v>0</v>
      </c>
      <c r="H30" s="150">
        <f>VLOOKUP($C28,Proyecciones!$C$62:$I$74,H$13,FALSE)</f>
        <v>95719005.499642849</v>
      </c>
      <c r="I30" s="180"/>
      <c r="J30" s="147">
        <f t="shared" si="1"/>
        <v>0</v>
      </c>
      <c r="K30" s="150">
        <f>VLOOKUP($C28,Proyecciones!$C$62:$I$74,K$13,FALSE)</f>
        <v>109627348.18691067</v>
      </c>
      <c r="L30" s="180"/>
      <c r="M30" s="147">
        <f t="shared" si="2"/>
        <v>0</v>
      </c>
      <c r="N30" s="150">
        <f>VLOOKUP($C28,Proyecciones!$C$62:$I$74,N$13,FALSE)</f>
        <v>118574929.72542571</v>
      </c>
      <c r="O30" s="180"/>
      <c r="P30" s="147">
        <f t="shared" si="3"/>
        <v>0</v>
      </c>
      <c r="Q30" s="150">
        <f>VLOOKUP($C28,Proyecciones!$C$62:$I$74,Q$13,FALSE)</f>
        <v>131058383.98484319</v>
      </c>
      <c r="R30" s="148"/>
      <c r="S30" s="149">
        <f t="shared" si="4"/>
        <v>0</v>
      </c>
    </row>
    <row r="31" spans="3:19" ht="21.6" customHeight="1" thickTop="1" thickBot="1" x14ac:dyDescent="0.3">
      <c r="C31" s="248"/>
      <c r="D31" s="3" t="s">
        <v>293</v>
      </c>
      <c r="E31" s="151">
        <f>VLOOKUP($C28,Proyecciones!$C$26:$I$35,E$13,FALSE)</f>
        <v>173.24654388661014</v>
      </c>
      <c r="F31" s="180"/>
      <c r="G31" s="147">
        <f t="shared" si="0"/>
        <v>0</v>
      </c>
      <c r="H31" s="151">
        <f>VLOOKUP($C28,Proyecciones!$C$26:$I$35,H$13,FALSE)</f>
        <v>178.42358481293076</v>
      </c>
      <c r="I31" s="180"/>
      <c r="J31" s="147">
        <f t="shared" si="1"/>
        <v>0</v>
      </c>
      <c r="K31" s="151">
        <f>VLOOKUP($C28,Proyecciones!$C$26:$I$35,K$13,FALSE)</f>
        <v>183.75532869696428</v>
      </c>
      <c r="L31" s="180"/>
      <c r="M31" s="147">
        <f t="shared" si="2"/>
        <v>0</v>
      </c>
      <c r="N31" s="151">
        <f>VLOOKUP($C28,Proyecciones!$C$26:$I$35,N$13,FALSE)</f>
        <v>189.24639845080776</v>
      </c>
      <c r="O31" s="180"/>
      <c r="P31" s="147">
        <f t="shared" si="3"/>
        <v>0</v>
      </c>
      <c r="Q31" s="151">
        <f>VLOOKUP($C28,Proyecciones!$C$26:$I$35,Q$13,FALSE)</f>
        <v>194.90155513075771</v>
      </c>
      <c r="R31" s="148"/>
      <c r="S31" s="149">
        <f t="shared" si="4"/>
        <v>0</v>
      </c>
    </row>
    <row r="32" spans="3:19" ht="21.6" customHeight="1" thickTop="1" thickBot="1" x14ac:dyDescent="0.3">
      <c r="C32" s="248" t="s">
        <v>10</v>
      </c>
      <c r="D32" s="3" t="s">
        <v>5</v>
      </c>
      <c r="E32" s="146">
        <f>VLOOKUP($C32,Proyecciones!$C$7:$I$21,E$13,FALSE)</f>
        <v>64573.942982020468</v>
      </c>
      <c r="F32" s="180"/>
      <c r="G32" s="147">
        <f t="shared" si="0"/>
        <v>0</v>
      </c>
      <c r="H32" s="146">
        <f>VLOOKUP($C32,Proyecciones!$C$7:$I$21,H$13,FALSE)</f>
        <v>80394</v>
      </c>
      <c r="I32" s="180"/>
      <c r="J32" s="147">
        <f t="shared" si="1"/>
        <v>0</v>
      </c>
      <c r="K32" s="146">
        <f>VLOOKUP($C32,Proyecciones!$C$7:$I$21,K$13,FALSE)</f>
        <v>83462.695802157017</v>
      </c>
      <c r="L32" s="180"/>
      <c r="M32" s="147">
        <f t="shared" si="2"/>
        <v>0</v>
      </c>
      <c r="N32" s="146">
        <f>VLOOKUP($C32,Proyecciones!$C$7:$I$21,N$13,FALSE)</f>
        <v>86648.525892024263</v>
      </c>
      <c r="O32" s="180"/>
      <c r="P32" s="147">
        <f t="shared" si="3"/>
        <v>0</v>
      </c>
      <c r="Q32" s="146">
        <f>VLOOKUP($C32,Proyecciones!$C$7:$I$21,Q$13,FALSE)</f>
        <v>89955.961368153687</v>
      </c>
      <c r="R32" s="148"/>
      <c r="S32" s="149">
        <f t="shared" si="4"/>
        <v>0</v>
      </c>
    </row>
    <row r="33" spans="3:19" ht="21.6" customHeight="1" thickTop="1" thickBot="1" x14ac:dyDescent="0.3">
      <c r="C33" s="248"/>
      <c r="D33" s="3" t="s">
        <v>6</v>
      </c>
      <c r="E33" s="150">
        <f>VLOOKUP($C32,Proyecciones!$C$40:$I$50,E$13,FALSE)</f>
        <v>603119.68235294113</v>
      </c>
      <c r="F33" s="180"/>
      <c r="G33" s="147">
        <f t="shared" si="0"/>
        <v>0</v>
      </c>
      <c r="H33" s="150">
        <f>VLOOKUP($C32,Proyecciones!$C$40:$I$50,H$13,FALSE)</f>
        <v>702352.9411764706</v>
      </c>
      <c r="I33" s="180"/>
      <c r="J33" s="147">
        <f t="shared" si="1"/>
        <v>0</v>
      </c>
      <c r="K33" s="150">
        <f>VLOOKUP($C32,Proyecciones!$C$40:$I$50,K$13,FALSE)</f>
        <v>976252.9411764706</v>
      </c>
      <c r="L33" s="180"/>
      <c r="M33" s="147">
        <f t="shared" si="2"/>
        <v>0</v>
      </c>
      <c r="N33" s="150">
        <f>VLOOKUP($C32,Proyecciones!$C$40:$I$50,N$13,FALSE)</f>
        <v>1074724.8382352942</v>
      </c>
      <c r="O33" s="180"/>
      <c r="P33" s="147">
        <f t="shared" si="3"/>
        <v>0</v>
      </c>
      <c r="Q33" s="150">
        <f>VLOOKUP($C32,Proyecciones!$C$40:$I$50,Q$13,FALSE)</f>
        <v>1329438.4228671577</v>
      </c>
      <c r="R33" s="148"/>
      <c r="S33" s="149">
        <f t="shared" si="4"/>
        <v>0</v>
      </c>
    </row>
    <row r="34" spans="3:19" ht="21.6" customHeight="1" thickTop="1" thickBot="1" x14ac:dyDescent="0.3">
      <c r="C34" s="248"/>
      <c r="D34" s="3" t="s">
        <v>292</v>
      </c>
      <c r="E34" s="150">
        <f>VLOOKUP($C32,Proyecciones!$C$62:$I$74,E$13,FALSE)</f>
        <v>78411920.546129853</v>
      </c>
      <c r="F34" s="180"/>
      <c r="G34" s="147">
        <f t="shared" si="0"/>
        <v>0</v>
      </c>
      <c r="H34" s="150">
        <f>VLOOKUP($C32,Proyecciones!$C$62:$I$74,H$13,FALSE)</f>
        <v>91313290.927623555</v>
      </c>
      <c r="I34" s="180"/>
      <c r="J34" s="147">
        <f t="shared" si="1"/>
        <v>0</v>
      </c>
      <c r="K34" s="150">
        <f>VLOOKUP($C32,Proyecciones!$C$62:$I$74,K$13,FALSE)</f>
        <v>126923180.08560459</v>
      </c>
      <c r="L34" s="180"/>
      <c r="M34" s="147">
        <f t="shared" si="2"/>
        <v>0</v>
      </c>
      <c r="N34" s="150">
        <f>VLOOKUP($C32,Proyecciones!$C$62:$I$74,N$13,FALSE)</f>
        <v>129745167.8776256</v>
      </c>
      <c r="O34" s="180"/>
      <c r="P34" s="147">
        <f t="shared" si="3"/>
        <v>0</v>
      </c>
      <c r="Q34" s="150">
        <f>VLOOKUP($C32,Proyecciones!$C$62:$I$74,Q$13,FALSE)</f>
        <v>135803657.1447522</v>
      </c>
      <c r="R34" s="148"/>
      <c r="S34" s="149">
        <f t="shared" si="4"/>
        <v>0</v>
      </c>
    </row>
    <row r="35" spans="3:19" ht="21.6" customHeight="1" thickTop="1" thickBot="1" x14ac:dyDescent="0.3">
      <c r="C35" s="248"/>
      <c r="D35" s="3" t="s">
        <v>293</v>
      </c>
      <c r="E35" s="151">
        <f>VLOOKUP($C32,Proyecciones!$C$26:$I$35,E$13,FALSE)</f>
        <v>185.72935460272799</v>
      </c>
      <c r="F35" s="180"/>
      <c r="G35" s="147">
        <f t="shared" si="0"/>
        <v>0</v>
      </c>
      <c r="H35" s="151">
        <f>VLOOKUP($C32,Proyecciones!$C$26:$I$35,H$13,FALSE)</f>
        <v>185.72935460272799</v>
      </c>
      <c r="I35" s="180"/>
      <c r="J35" s="147">
        <f t="shared" si="1"/>
        <v>0</v>
      </c>
      <c r="K35" s="151">
        <f>VLOOKUP($C32,Proyecciones!$C$26:$I$35,K$13,FALSE)</f>
        <v>185.72935460272799</v>
      </c>
      <c r="L35" s="180"/>
      <c r="M35" s="147">
        <f t="shared" si="2"/>
        <v>0</v>
      </c>
      <c r="N35" s="151">
        <f>VLOOKUP($C32,Proyecciones!$C$26:$I$35,N$13,FALSE)</f>
        <v>185.72935460272799</v>
      </c>
      <c r="O35" s="180"/>
      <c r="P35" s="147">
        <f t="shared" si="3"/>
        <v>0</v>
      </c>
      <c r="Q35" s="151">
        <f>VLOOKUP($C32,Proyecciones!$C$26:$I$35,Q$13,FALSE)</f>
        <v>185.72935460272799</v>
      </c>
      <c r="R35" s="148"/>
      <c r="S35" s="149">
        <f t="shared" si="4"/>
        <v>0</v>
      </c>
    </row>
    <row r="36" spans="3:19" ht="21.6" customHeight="1" thickTop="1" thickBot="1" x14ac:dyDescent="0.3">
      <c r="C36" s="248" t="s">
        <v>101</v>
      </c>
      <c r="D36" s="3" t="s">
        <v>5</v>
      </c>
      <c r="E36" s="146">
        <f>VLOOKUP($C36,Proyecciones!$C$7:$I$21,E$13,FALSE)</f>
        <v>185216.40223120168</v>
      </c>
      <c r="F36" s="180"/>
      <c r="G36" s="147">
        <f t="shared" si="0"/>
        <v>0</v>
      </c>
      <c r="H36" s="146">
        <f>VLOOKUP($C36,Proyecciones!$C$7:$I$21,H$13,FALSE)</f>
        <v>222355</v>
      </c>
      <c r="I36" s="180"/>
      <c r="J36" s="147">
        <f t="shared" si="1"/>
        <v>0</v>
      </c>
      <c r="K36" s="146">
        <f>VLOOKUP($C36,Proyecciones!$C$7:$I$21,K$13,FALSE)</f>
        <v>232933.52731208786</v>
      </c>
      <c r="L36" s="180"/>
      <c r="M36" s="147">
        <f t="shared" si="2"/>
        <v>0</v>
      </c>
      <c r="N36" s="146">
        <f>VLOOKUP($C36,Proyecciones!$C$7:$I$21,N$13,FALSE)</f>
        <v>244015.32749904963</v>
      </c>
      <c r="O36" s="180"/>
      <c r="P36" s="147">
        <f t="shared" si="3"/>
        <v>0</v>
      </c>
      <c r="Q36" s="146">
        <f>VLOOKUP($C36,Proyecciones!$C$7:$I$21,Q$13,FALSE)</f>
        <v>255624.34374117039</v>
      </c>
      <c r="R36" s="148"/>
      <c r="S36" s="149">
        <f t="shared" si="4"/>
        <v>0</v>
      </c>
    </row>
    <row r="37" spans="3:19" ht="21.6" customHeight="1" thickTop="1" thickBot="1" x14ac:dyDescent="0.3">
      <c r="C37" s="248"/>
      <c r="D37" s="3" t="s">
        <v>6</v>
      </c>
      <c r="E37" s="150">
        <f>VLOOKUP($C36,Proyecciones!$C$40:$I$50,E$13,FALSE)</f>
        <v>1177943.4423529413</v>
      </c>
      <c r="F37" s="180"/>
      <c r="G37" s="147">
        <f t="shared" si="0"/>
        <v>0</v>
      </c>
      <c r="H37" s="150">
        <f>VLOOKUP($C36,Proyecciones!$C$40:$I$50,H$13,FALSE)</f>
        <v>1342352.9411764706</v>
      </c>
      <c r="I37" s="180"/>
      <c r="J37" s="147">
        <f t="shared" si="1"/>
        <v>0</v>
      </c>
      <c r="K37" s="150">
        <f>VLOOKUP($C36,Proyecciones!$C$40:$I$50,K$13,FALSE)</f>
        <v>1469976.4705882352</v>
      </c>
      <c r="L37" s="180"/>
      <c r="M37" s="147">
        <f t="shared" si="2"/>
        <v>0</v>
      </c>
      <c r="N37" s="150">
        <f>VLOOKUP($C36,Proyecciones!$C$40:$I$50,N$13,FALSE)</f>
        <v>1902855.8482352942</v>
      </c>
      <c r="O37" s="180"/>
      <c r="P37" s="147">
        <f t="shared" si="3"/>
        <v>0</v>
      </c>
      <c r="Q37" s="150">
        <f>VLOOKUP($C36,Proyecciones!$C$40:$I$50,Q$13,FALSE)</f>
        <v>2265559.511470045</v>
      </c>
      <c r="R37" s="148"/>
      <c r="S37" s="149">
        <f t="shared" si="4"/>
        <v>0</v>
      </c>
    </row>
    <row r="38" spans="3:19" ht="21.6" customHeight="1" thickTop="1" thickBot="1" x14ac:dyDescent="0.3">
      <c r="C38" s="248"/>
      <c r="D38" s="3" t="s">
        <v>292</v>
      </c>
      <c r="E38" s="150">
        <f>VLOOKUP($C36,Proyecciones!$C$62:$I$74,E$13,FALSE)</f>
        <v>179018651.13758698</v>
      </c>
      <c r="F38" s="180"/>
      <c r="G38" s="147">
        <f t="shared" si="0"/>
        <v>0</v>
      </c>
      <c r="H38" s="150">
        <f>VLOOKUP($C36,Proyecciones!$C$62:$I$74,H$13,FALSE)</f>
        <v>211858366.20559409</v>
      </c>
      <c r="I38" s="180"/>
      <c r="J38" s="147">
        <f t="shared" si="1"/>
        <v>0</v>
      </c>
      <c r="K38" s="150">
        <f>VLOOKUP($C36,Proyecciones!$C$62:$I$74,K$13,FALSE)</f>
        <v>240931920.06389356</v>
      </c>
      <c r="L38" s="180"/>
      <c r="M38" s="147">
        <f t="shared" si="2"/>
        <v>0</v>
      </c>
      <c r="N38" s="150">
        <f>VLOOKUP($C36,Proyecciones!$C$62:$I$74,N$13,FALSE)</f>
        <v>323888036.1177085</v>
      </c>
      <c r="O38" s="180"/>
      <c r="P38" s="147">
        <f t="shared" si="3"/>
        <v>0</v>
      </c>
      <c r="Q38" s="150">
        <f>VLOOKUP($C36,Proyecciones!$C$62:$I$74,Q$13,FALSE)</f>
        <v>340399156.7849561</v>
      </c>
      <c r="R38" s="148"/>
      <c r="S38" s="149">
        <f t="shared" si="4"/>
        <v>0</v>
      </c>
    </row>
    <row r="39" spans="3:19" ht="21.6" customHeight="1" thickTop="1" thickBot="1" x14ac:dyDescent="0.3">
      <c r="C39" s="248"/>
      <c r="D39" s="3" t="s">
        <v>293</v>
      </c>
      <c r="E39" s="151">
        <f>VLOOKUP($C36,Proyecciones!$C$26:$I$35,E$13,FALSE)</f>
        <v>151.97559127286905</v>
      </c>
      <c r="F39" s="180"/>
      <c r="G39" s="147">
        <f>F39/E39</f>
        <v>0</v>
      </c>
      <c r="H39" s="151">
        <f>VLOOKUP($C36,Proyecciones!$C$26:$I$35,H$13,FALSE)</f>
        <v>157.82612732230936</v>
      </c>
      <c r="I39" s="180"/>
      <c r="J39" s="147">
        <f t="shared" si="1"/>
        <v>0</v>
      </c>
      <c r="K39" s="151">
        <f>VLOOKUP($C36,Proyecciones!$C$26:$I$35,K$13,FALSE)</f>
        <v>163.90188882920057</v>
      </c>
      <c r="L39" s="180"/>
      <c r="M39" s="147">
        <f t="shared" si="2"/>
        <v>0</v>
      </c>
      <c r="N39" s="151">
        <f>VLOOKUP($C36,Proyecciones!$C$26:$I$35,N$13,FALSE)</f>
        <v>170.21154619677671</v>
      </c>
      <c r="O39" s="180"/>
      <c r="P39" s="147">
        <f t="shared" si="3"/>
        <v>0</v>
      </c>
      <c r="Q39" s="151">
        <f>VLOOKUP($C36,Proyecciones!$C$26:$I$35,Q$13,FALSE)</f>
        <v>176.7641036088892</v>
      </c>
      <c r="R39" s="148"/>
      <c r="S39" s="149">
        <f t="shared" si="4"/>
        <v>0</v>
      </c>
    </row>
    <row r="40" spans="3:19" ht="21.6" customHeight="1" thickTop="1" thickBot="1" x14ac:dyDescent="0.3">
      <c r="C40" s="248" t="s">
        <v>170</v>
      </c>
      <c r="D40" s="3" t="s">
        <v>5</v>
      </c>
      <c r="E40" s="146">
        <f>VLOOKUP("ARGENTINA",Proyecciones!$C$7:$I$21,E$13,FALSE)*0.2</f>
        <v>229674.72000000003</v>
      </c>
      <c r="F40" s="180"/>
      <c r="G40" s="152">
        <f t="shared" si="0"/>
        <v>0</v>
      </c>
      <c r="H40" s="146">
        <f>VLOOKUP("ARGENTINA",Proyecciones!$C$7:$I$21,H$13,FALSE)*0.2</f>
        <v>287093.40000000002</v>
      </c>
      <c r="I40" s="180"/>
      <c r="J40" s="152">
        <f t="shared" si="1"/>
        <v>0</v>
      </c>
      <c r="K40" s="146">
        <f>VLOOKUP("ARGENTINA",Proyecciones!$C$7:$I$21,K$13,FALSE)*0.2</f>
        <v>300657.12744760182</v>
      </c>
      <c r="L40" s="180"/>
      <c r="M40" s="152">
        <f t="shared" si="2"/>
        <v>0</v>
      </c>
      <c r="N40" s="146">
        <f>VLOOKUP("ARGENTINA",Proyecciones!$C$7:$I$21,N$13,FALSE)*0.2</f>
        <v>300657.12744760182</v>
      </c>
      <c r="O40" s="180"/>
      <c r="P40" s="152">
        <f t="shared" si="3"/>
        <v>0</v>
      </c>
      <c r="Q40" s="146">
        <f>VLOOKUP("ARGENTINA",Proyecciones!$C$7:$I$21,Q$13,FALSE)*0.2</f>
        <v>300657.12744760182</v>
      </c>
      <c r="R40" s="148"/>
      <c r="S40" s="153">
        <f t="shared" si="4"/>
        <v>0</v>
      </c>
    </row>
    <row r="41" spans="3:19" ht="21.6" customHeight="1" thickTop="1" thickBot="1" x14ac:dyDescent="0.3">
      <c r="C41" s="248"/>
      <c r="D41" s="3" t="s">
        <v>6</v>
      </c>
      <c r="E41" s="150">
        <f>VLOOKUP($C40,Proyecciones!$C$40:$I$50,E$13,FALSE)</f>
        <v>397245.47411764704</v>
      </c>
      <c r="F41" s="180"/>
      <c r="G41" s="152">
        <f t="shared" si="0"/>
        <v>0</v>
      </c>
      <c r="H41" s="150">
        <f>VLOOKUP($C40,Proyecciones!$C$40:$I$50,H$13,FALSE)</f>
        <v>401176.4705882353</v>
      </c>
      <c r="I41" s="180"/>
      <c r="J41" s="152">
        <f t="shared" si="1"/>
        <v>0</v>
      </c>
      <c r="K41" s="150">
        <f>VLOOKUP($C40,Proyecciones!$C$40:$I$50,K$13,FALSE)</f>
        <v>422670.5882352941</v>
      </c>
      <c r="L41" s="180"/>
      <c r="M41" s="152">
        <f t="shared" si="2"/>
        <v>0</v>
      </c>
      <c r="N41" s="150">
        <f>VLOOKUP($C40,Proyecciones!$C$40:$I$50,N$13,FALSE)</f>
        <v>454324.74117647059</v>
      </c>
      <c r="O41" s="180"/>
      <c r="P41" s="152">
        <f t="shared" si="3"/>
        <v>0</v>
      </c>
      <c r="Q41" s="150">
        <f>VLOOKUP($C40,Proyecciones!$C$40:$I$50,Q$13,FALSE)</f>
        <v>475118.78079211642</v>
      </c>
      <c r="R41" s="148"/>
      <c r="S41" s="153">
        <f t="shared" si="4"/>
        <v>0</v>
      </c>
    </row>
    <row r="42" spans="3:19" ht="21.6" customHeight="1" thickTop="1" thickBot="1" x14ac:dyDescent="0.3">
      <c r="C42" s="248"/>
      <c r="D42" s="3" t="s">
        <v>292</v>
      </c>
      <c r="E42" s="150">
        <f>VLOOKUP($C40,Proyecciones!$C$62:$I$74,E$13,FALSE)</f>
        <v>122088703.15697348</v>
      </c>
      <c r="F42" s="180"/>
      <c r="G42" s="153">
        <f t="shared" si="0"/>
        <v>0</v>
      </c>
      <c r="H42" s="150">
        <f>VLOOKUP($C40,Proyecciones!$C$62:$I$74,H$13,FALSE)</f>
        <v>133653469.72212069</v>
      </c>
      <c r="I42" s="180"/>
      <c r="J42" s="153">
        <f t="shared" si="1"/>
        <v>0</v>
      </c>
      <c r="K42" s="150">
        <f>VLOOKUP($C40,Proyecciones!$C$62:$I$74,K$13,FALSE)</f>
        <v>152642360.8880004</v>
      </c>
      <c r="L42" s="180"/>
      <c r="M42" s="153">
        <f t="shared" si="2"/>
        <v>0</v>
      </c>
      <c r="N42" s="150">
        <f>VLOOKUP($C40,Proyecciones!$C$62:$I$74,N$13,FALSE)</f>
        <v>177855662.21119821</v>
      </c>
      <c r="O42" s="180"/>
      <c r="P42" s="152">
        <f t="shared" si="3"/>
        <v>0</v>
      </c>
      <c r="Q42" s="150">
        <f>VLOOKUP($C40,Proyecciones!$C$62:$I$74,Q$13,FALSE)</f>
        <v>201619144.53425419</v>
      </c>
      <c r="R42" s="148"/>
      <c r="S42" s="153">
        <f t="shared" si="4"/>
        <v>0</v>
      </c>
    </row>
    <row r="43" spans="3:19" ht="21.6" customHeight="1" thickTop="1" thickBot="1" x14ac:dyDescent="0.3">
      <c r="C43" s="248"/>
      <c r="D43" s="3" t="s">
        <v>293</v>
      </c>
      <c r="E43" s="151">
        <f>VLOOKUP($C40,Proyecciones!$C$26:$I$35,E$13,FALSE)</f>
        <v>307.3381853579433</v>
      </c>
      <c r="F43" s="180"/>
      <c r="G43" s="152">
        <f t="shared" si="0"/>
        <v>0</v>
      </c>
      <c r="H43" s="151">
        <f>VLOOKUP($C40,Proyecciones!$C$26:$I$35,H$13,FALSE)</f>
        <v>333.15381015777882</v>
      </c>
      <c r="I43" s="180"/>
      <c r="J43" s="152">
        <f t="shared" si="1"/>
        <v>0</v>
      </c>
      <c r="K43" s="151">
        <f>VLOOKUP($C40,Proyecciones!$C$26:$I$35,K$13,FALSE)</f>
        <v>361.13788169009473</v>
      </c>
      <c r="L43" s="180"/>
      <c r="M43" s="152">
        <f t="shared" si="2"/>
        <v>0</v>
      </c>
      <c r="N43" s="151">
        <f>VLOOKUP($C40,Proyecciones!$C$26:$I$35,N$13,FALSE)</f>
        <v>391.47254395752753</v>
      </c>
      <c r="O43" s="180"/>
      <c r="P43" s="152">
        <f t="shared" si="3"/>
        <v>0</v>
      </c>
      <c r="Q43" s="151">
        <f>VLOOKUP($C40,Proyecciones!$C$26:$I$35,Q$13,FALSE)</f>
        <v>424.35524059502643</v>
      </c>
      <c r="R43" s="148"/>
      <c r="S43" s="153">
        <f t="shared" si="4"/>
        <v>0</v>
      </c>
    </row>
    <row r="44" spans="3:19" ht="21.6" customHeight="1" thickTop="1" thickBot="1" x14ac:dyDescent="0.3">
      <c r="C44" s="248" t="s">
        <v>11</v>
      </c>
      <c r="D44" s="3" t="s">
        <v>5</v>
      </c>
      <c r="E44" s="146">
        <f>VLOOKUP($C44,Proyecciones!$C$7:$I$21,E$13,FALSE)</f>
        <v>35071.210634565359</v>
      </c>
      <c r="F44" s="180"/>
      <c r="G44" s="147">
        <f t="shared" si="0"/>
        <v>0</v>
      </c>
      <c r="H44" s="146">
        <f>VLOOKUP($C44,Proyecciones!$C$7:$I$21,H$13,FALSE)</f>
        <v>52653</v>
      </c>
      <c r="I44" s="180"/>
      <c r="J44" s="147">
        <f t="shared" si="1"/>
        <v>0</v>
      </c>
      <c r="K44" s="146">
        <f>VLOOKUP($C44,Proyecciones!$C$7:$I$21,K$13,FALSE)</f>
        <v>54194.675600470298</v>
      </c>
      <c r="L44" s="180"/>
      <c r="M44" s="147">
        <f t="shared" si="2"/>
        <v>0</v>
      </c>
      <c r="N44" s="146">
        <f>VLOOKUP($C44,Proyecciones!$C$7:$I$21,N$13,FALSE)</f>
        <v>55781.491338389278</v>
      </c>
      <c r="O44" s="180"/>
      <c r="P44" s="147">
        <f t="shared" si="3"/>
        <v>0</v>
      </c>
      <c r="Q44" s="146">
        <f>VLOOKUP($C44,Proyecciones!$C$7:$I$21,Q$13,FALSE)</f>
        <v>57414.76891334683</v>
      </c>
      <c r="R44" s="148"/>
      <c r="S44" s="149">
        <f t="shared" si="4"/>
        <v>0</v>
      </c>
    </row>
    <row r="45" spans="3:19" ht="21.6" customHeight="1" thickTop="1" thickBot="1" x14ac:dyDescent="0.3">
      <c r="C45" s="248"/>
      <c r="D45" s="3" t="s">
        <v>6</v>
      </c>
      <c r="E45" s="150">
        <f>VLOOKUP($C44,Proyecciones!$C$40:$I$50,E$13,FALSE)</f>
        <v>84584.784705882354</v>
      </c>
      <c r="F45" s="180"/>
      <c r="G45" s="147">
        <f t="shared" si="0"/>
        <v>0</v>
      </c>
      <c r="H45" s="150">
        <f>VLOOKUP($C44,Proyecciones!$C$40:$I$50,H$13,FALSE)</f>
        <v>326470.5882352941</v>
      </c>
      <c r="I45" s="180"/>
      <c r="J45" s="147">
        <f t="shared" si="1"/>
        <v>0</v>
      </c>
      <c r="K45" s="150">
        <f>VLOOKUP($C44,Proyecciones!$C$40:$I$50,K$13,FALSE)</f>
        <v>367323.5294117647</v>
      </c>
      <c r="L45" s="180"/>
      <c r="M45" s="147">
        <f t="shared" si="2"/>
        <v>0</v>
      </c>
      <c r="N45" s="150">
        <f>VLOOKUP($C44,Proyecciones!$C$40:$I$50,N$13,FALSE)</f>
        <v>430275.9411764706</v>
      </c>
      <c r="O45" s="180"/>
      <c r="P45" s="147">
        <f t="shared" si="3"/>
        <v>0</v>
      </c>
      <c r="Q45" s="150">
        <f>VLOOKUP($C44,Proyecciones!$C$40:$I$50,Q$13,FALSE)</f>
        <v>493967.71384534577</v>
      </c>
      <c r="R45" s="148"/>
      <c r="S45" s="149">
        <f t="shared" si="4"/>
        <v>0</v>
      </c>
    </row>
    <row r="46" spans="3:19" ht="21.6" customHeight="1" thickTop="1" thickBot="1" x14ac:dyDescent="0.3">
      <c r="C46" s="248"/>
      <c r="D46" s="3" t="s">
        <v>292</v>
      </c>
      <c r="E46" s="150">
        <f>VLOOKUP($C44,Proyecciones!$C$62:$I$74,E$13,FALSE)</f>
        <v>14163925.262142587</v>
      </c>
      <c r="F46" s="180"/>
      <c r="G46" s="147">
        <f t="shared" si="0"/>
        <v>0</v>
      </c>
      <c r="H46" s="150">
        <f>VLOOKUP($C44,Proyecciones!$C$62:$I$74,H$13,FALSE)</f>
        <v>41909522.694282696</v>
      </c>
      <c r="I46" s="180"/>
      <c r="J46" s="147">
        <f t="shared" si="1"/>
        <v>0</v>
      </c>
      <c r="K46" s="150">
        <f>VLOOKUP($C44,Proyecciones!$C$62:$I$74,K$13,FALSE)</f>
        <v>55329896.725619212</v>
      </c>
      <c r="L46" s="180"/>
      <c r="M46" s="147">
        <f t="shared" si="2"/>
        <v>0</v>
      </c>
      <c r="N46" s="150">
        <f>VLOOKUP($C44,Proyecciones!$C$62:$I$74,N$13,FALSE)</f>
        <v>64355409.52538956</v>
      </c>
      <c r="O46" s="180"/>
      <c r="P46" s="147">
        <f t="shared" si="3"/>
        <v>0</v>
      </c>
      <c r="Q46" s="150">
        <f>VLOOKUP($C44,Proyecciones!$C$62:$I$74,Q$13,FALSE)</f>
        <v>71393410.908051997</v>
      </c>
      <c r="R46" s="148"/>
      <c r="S46" s="149">
        <f t="shared" si="4"/>
        <v>0</v>
      </c>
    </row>
    <row r="47" spans="3:19" ht="21.6" customHeight="1" thickTop="1" thickBot="1" x14ac:dyDescent="0.3">
      <c r="C47" s="248"/>
      <c r="D47" s="3" t="s">
        <v>293</v>
      </c>
      <c r="E47" s="151">
        <f>VLOOKUP($C44,Proyecciones!$C$26:$I$35,E$13,FALSE)</f>
        <v>167.45240070531943</v>
      </c>
      <c r="F47" s="180"/>
      <c r="G47" s="147">
        <f t="shared" si="0"/>
        <v>0</v>
      </c>
      <c r="H47" s="151">
        <f>VLOOKUP($C44,Proyecciones!$C$26:$I$35,H$13,FALSE)</f>
        <v>183.38787279351504</v>
      </c>
      <c r="I47" s="180"/>
      <c r="J47" s="147">
        <f t="shared" si="1"/>
        <v>0</v>
      </c>
      <c r="K47" s="151">
        <f>VLOOKUP($C44,Proyecciones!$C$26:$I$35,K$13,FALSE)</f>
        <v>200.83983117634756</v>
      </c>
      <c r="L47" s="180"/>
      <c r="M47" s="147">
        <f t="shared" si="2"/>
        <v>0</v>
      </c>
      <c r="N47" s="151">
        <f>VLOOKUP($C44,Proyecciones!$C$26:$I$35,N$13,FALSE)</f>
        <v>219.9525910437965</v>
      </c>
      <c r="O47" s="180"/>
      <c r="P47" s="147">
        <f t="shared" si="3"/>
        <v>0</v>
      </c>
      <c r="Q47" s="151">
        <f>VLOOKUP($C44,Proyecciones!$C$26:$I$35,Q$13,FALSE)</f>
        <v>240.88420122401041</v>
      </c>
      <c r="R47" s="148"/>
      <c r="S47" s="149">
        <f t="shared" si="4"/>
        <v>0</v>
      </c>
    </row>
    <row r="48" spans="3:19" ht="21.6" customHeight="1" thickTop="1" thickBot="1" x14ac:dyDescent="0.3">
      <c r="C48" s="248" t="s">
        <v>12</v>
      </c>
      <c r="D48" s="3" t="s">
        <v>5</v>
      </c>
      <c r="E48" s="146">
        <f>VLOOKUP($C48,Proyecciones!$C$7:$I$21,E$13,FALSE)</f>
        <v>138507.01891846035</v>
      </c>
      <c r="F48" s="180"/>
      <c r="G48" s="147">
        <f t="shared" si="0"/>
        <v>0</v>
      </c>
      <c r="H48" s="146">
        <f>VLOOKUP($C48,Proyecciones!$C$7:$I$21,H$13,FALSE)</f>
        <v>132515</v>
      </c>
      <c r="I48" s="180"/>
      <c r="J48" s="147">
        <f t="shared" si="1"/>
        <v>0</v>
      </c>
      <c r="K48" s="146">
        <f>VLOOKUP($C48,Proyecciones!$C$7:$I$21,K$13,FALSE)</f>
        <v>140163.23111812357</v>
      </c>
      <c r="L48" s="180"/>
      <c r="M48" s="147">
        <f t="shared" si="2"/>
        <v>0</v>
      </c>
      <c r="N48" s="146">
        <f>VLOOKUP($C48,Proyecciones!$C$7:$I$21,N$13,FALSE)</f>
        <v>148252.88727670469</v>
      </c>
      <c r="O48" s="180"/>
      <c r="P48" s="147">
        <f t="shared" si="3"/>
        <v>0</v>
      </c>
      <c r="Q48" s="146">
        <f>VLOOKUP($C48,Proyecciones!$C$7:$I$21,Q$13,FALSE)</f>
        <v>156809.44574798233</v>
      </c>
      <c r="R48" s="148"/>
      <c r="S48" s="149">
        <f t="shared" si="4"/>
        <v>0</v>
      </c>
    </row>
    <row r="49" spans="3:19" ht="21.6" customHeight="1" thickTop="1" thickBot="1" x14ac:dyDescent="0.3">
      <c r="C49" s="248"/>
      <c r="D49" s="3" t="s">
        <v>6</v>
      </c>
      <c r="E49" s="150">
        <f>VLOOKUP($C48,Proyecciones!$C$40:$I$50,E$13,FALSE)</f>
        <v>215833.70941176469</v>
      </c>
      <c r="F49" s="180"/>
      <c r="G49" s="147">
        <f t="shared" si="0"/>
        <v>0</v>
      </c>
      <c r="H49" s="150">
        <f>VLOOKUP($C48,Proyecciones!$C$40:$I$50,H$13,FALSE)</f>
        <v>198823.5294117647</v>
      </c>
      <c r="I49" s="180"/>
      <c r="J49" s="147">
        <f t="shared" si="1"/>
        <v>0</v>
      </c>
      <c r="K49" s="150">
        <f>VLOOKUP($C48,Proyecciones!$C$40:$I$50,K$13,FALSE)</f>
        <v>226141.17647058822</v>
      </c>
      <c r="L49" s="180"/>
      <c r="M49" s="147">
        <f t="shared" si="2"/>
        <v>0</v>
      </c>
      <c r="N49" s="150">
        <f>VLOOKUP($C48,Proyecciones!$C$40:$I$50,N$13,FALSE)</f>
        <v>265840.67647058825</v>
      </c>
      <c r="O49" s="180"/>
      <c r="P49" s="147">
        <f t="shared" si="3"/>
        <v>0</v>
      </c>
      <c r="Q49" s="150">
        <f>VLOOKUP($C48,Proyecciones!$C$40:$I$50,Q$13,FALSE)</f>
        <v>307396.03448240442</v>
      </c>
      <c r="R49" s="148"/>
      <c r="S49" s="149">
        <f t="shared" si="4"/>
        <v>0</v>
      </c>
    </row>
    <row r="50" spans="3:19" ht="21.6" customHeight="1" thickTop="1" thickBot="1" x14ac:dyDescent="0.3">
      <c r="C50" s="248"/>
      <c r="D50" s="3" t="s">
        <v>292</v>
      </c>
      <c r="E50" s="150">
        <f>VLOOKUP($C48,Proyecciones!$C$62:$I$74,E$13,FALSE)</f>
        <v>49586784.750540487</v>
      </c>
      <c r="F50" s="180"/>
      <c r="G50" s="147">
        <f t="shared" si="0"/>
        <v>0</v>
      </c>
      <c r="H50" s="150">
        <f>VLOOKUP($C48,Proyecciones!$C$62:$I$74,H$13,FALSE)</f>
        <v>51411959.27060812</v>
      </c>
      <c r="I50" s="180"/>
      <c r="J50" s="147">
        <f t="shared" si="1"/>
        <v>0</v>
      </c>
      <c r="K50" s="150">
        <f>VLOOKUP($C48,Proyecciones!$C$62:$I$74,K$13,FALSE)</f>
        <v>55942858.072586358</v>
      </c>
      <c r="L50" s="180"/>
      <c r="M50" s="147">
        <f t="shared" si="2"/>
        <v>0</v>
      </c>
      <c r="N50" s="150">
        <f>VLOOKUP($C48,Proyecciones!$C$62:$I$74,N$13,FALSE)</f>
        <v>78371781.998331666</v>
      </c>
      <c r="O50" s="180"/>
      <c r="P50" s="147">
        <f t="shared" si="3"/>
        <v>0</v>
      </c>
      <c r="Q50" s="150">
        <f>VLOOKUP($C48,Proyecciones!$C$62:$I$74,Q$13,FALSE)</f>
        <v>101996730.4572154</v>
      </c>
      <c r="R50" s="148"/>
      <c r="S50" s="149">
        <f t="shared" si="4"/>
        <v>0</v>
      </c>
    </row>
    <row r="51" spans="3:19" ht="21.6" customHeight="1" thickTop="1" thickBot="1" x14ac:dyDescent="0.3">
      <c r="C51" s="248"/>
      <c r="D51" s="3" t="s">
        <v>293</v>
      </c>
      <c r="E51" s="151">
        <f>VLOOKUP($C48,Proyecciones!$C$26:$I$35,E$13,FALSE)</f>
        <v>229.74532053257479</v>
      </c>
      <c r="F51" s="180"/>
      <c r="G51" s="147">
        <f>F51/E51</f>
        <v>0</v>
      </c>
      <c r="H51" s="151">
        <f>VLOOKUP($C48,Proyecciones!$C$26:$I$35,H$13,FALSE)</f>
        <v>258.58086023678641</v>
      </c>
      <c r="I51" s="180"/>
      <c r="J51" s="147">
        <f t="shared" si="1"/>
        <v>0</v>
      </c>
      <c r="K51" s="151">
        <f>VLOOKUP($C48,Proyecciones!$C$26:$I$35,K$13,FALSE)</f>
        <v>291.03557419928399</v>
      </c>
      <c r="L51" s="180"/>
      <c r="M51" s="147">
        <f t="shared" si="2"/>
        <v>0</v>
      </c>
      <c r="N51" s="151">
        <f>VLOOKUP($C48,Proyecciones!$C$26:$I$35,N$13,FALSE)</f>
        <v>327.56370820309093</v>
      </c>
      <c r="O51" s="180"/>
      <c r="P51" s="147">
        <f t="shared" si="3"/>
        <v>0</v>
      </c>
      <c r="Q51" s="151">
        <f>VLOOKUP($C48,Proyecciones!$C$26:$I$35,Q$13,FALSE)</f>
        <v>368.67652082383705</v>
      </c>
      <c r="R51" s="148"/>
      <c r="S51" s="149">
        <f t="shared" si="4"/>
        <v>0</v>
      </c>
    </row>
    <row r="52" spans="3:19" ht="21" customHeight="1" thickTop="1" thickBot="1" x14ac:dyDescent="0.3">
      <c r="C52" s="13" t="s">
        <v>31</v>
      </c>
      <c r="D52" s="3" t="s">
        <v>5</v>
      </c>
      <c r="E52" s="146">
        <f>VLOOKUP($C52,Proyecciones!$C$7:$I$21,E$13,FALSE)*0.8</f>
        <v>918698.88000000012</v>
      </c>
      <c r="F52" s="180"/>
      <c r="G52" s="152">
        <f t="shared" ref="G52:G54" si="5">F52/E52</f>
        <v>0</v>
      </c>
      <c r="H52" s="146">
        <f>VLOOKUP($C52,Proyecciones!$C$7:$I$21,H$13,FALSE)*0.8</f>
        <v>1148373.6000000001</v>
      </c>
      <c r="I52" s="180"/>
      <c r="J52" s="152">
        <f t="shared" si="1"/>
        <v>0</v>
      </c>
      <c r="K52" s="146">
        <f>VLOOKUP($C52,Proyecciones!$C$7:$I$21,K$13,FALSE)*0.8</f>
        <v>1202628.5097904073</v>
      </c>
      <c r="L52" s="180"/>
      <c r="M52" s="152">
        <f t="shared" si="2"/>
        <v>0</v>
      </c>
      <c r="N52" s="146">
        <f>VLOOKUP($C52,Proyecciones!$C$7:$I$21,N$13,FALSE)*0.8</f>
        <v>1202628.5097904073</v>
      </c>
      <c r="O52" s="180"/>
      <c r="P52" s="152">
        <f t="shared" si="3"/>
        <v>0</v>
      </c>
      <c r="Q52" s="146">
        <f>VLOOKUP($C52,Proyecciones!$C$7:$I$21,Q$13,FALSE)*0.8</f>
        <v>1202628.5097904073</v>
      </c>
      <c r="R52" s="148"/>
      <c r="S52" s="153">
        <f t="shared" si="4"/>
        <v>0</v>
      </c>
    </row>
    <row r="53" spans="3:19" ht="21" customHeight="1" thickTop="1" thickBot="1" x14ac:dyDescent="0.3">
      <c r="C53" s="13" t="s">
        <v>102</v>
      </c>
      <c r="D53" s="3" t="s">
        <v>5</v>
      </c>
      <c r="E53" s="146">
        <f>VLOOKUP($C53,Proyecciones!$C$7:$I$21,E$13,FALSE)</f>
        <v>329143.22283788415</v>
      </c>
      <c r="F53" s="180"/>
      <c r="G53" s="147">
        <f t="shared" si="5"/>
        <v>0</v>
      </c>
      <c r="H53" s="146">
        <f>VLOOKUP($C53,Proyecciones!$C$7:$I$21,H$13,FALSE)</f>
        <v>388942</v>
      </c>
      <c r="I53" s="180"/>
      <c r="J53" s="147">
        <f t="shared" si="1"/>
        <v>0</v>
      </c>
      <c r="K53" s="146">
        <f>VLOOKUP($C53,Proyecciones!$C$7:$I$21,K$13,FALSE)</f>
        <v>402004.96332598542</v>
      </c>
      <c r="L53" s="180"/>
      <c r="M53" s="147">
        <f t="shared" si="2"/>
        <v>0</v>
      </c>
      <c r="N53" s="146">
        <f>VLOOKUP($C53,Proyecciones!$C$7:$I$21,N$13,FALSE)</f>
        <v>415506.65790458961</v>
      </c>
      <c r="O53" s="180"/>
      <c r="P53" s="147">
        <f t="shared" si="3"/>
        <v>0</v>
      </c>
      <c r="Q53" s="146">
        <f>VLOOKUP($C53,Proyecciones!$C$7:$I$21,Q$13,FALSE)</f>
        <v>415506.65790458961</v>
      </c>
      <c r="R53" s="148"/>
      <c r="S53" s="149">
        <f t="shared" si="4"/>
        <v>0</v>
      </c>
    </row>
    <row r="54" spans="3:19" ht="21" customHeight="1" thickTop="1" thickBot="1" x14ac:dyDescent="0.3">
      <c r="C54" s="13" t="s">
        <v>33</v>
      </c>
      <c r="D54" s="3" t="s">
        <v>5</v>
      </c>
      <c r="E54" s="146">
        <f>VLOOKUP($C54,Proyecciones!$C$7:$I$21,E$13,FALSE)</f>
        <v>382611.9479653436</v>
      </c>
      <c r="F54" s="180"/>
      <c r="G54" s="147">
        <f t="shared" si="5"/>
        <v>0</v>
      </c>
      <c r="H54" s="146">
        <f>VLOOKUP($C54,Proyecciones!$C$7:$I$21,H$13,FALSE)</f>
        <v>467699</v>
      </c>
      <c r="I54" s="180"/>
      <c r="J54" s="147">
        <f t="shared" si="1"/>
        <v>0</v>
      </c>
      <c r="K54" s="146">
        <f>VLOOKUP($C54,Proyecciones!$C$7:$I$21,K$13,FALSE)</f>
        <v>467699</v>
      </c>
      <c r="L54" s="180"/>
      <c r="M54" s="147">
        <f t="shared" si="2"/>
        <v>0</v>
      </c>
      <c r="N54" s="146">
        <f>VLOOKUP($C54,Proyecciones!$C$7:$I$21,N$13,FALSE)</f>
        <v>467699</v>
      </c>
      <c r="O54" s="180"/>
      <c r="P54" s="147">
        <f t="shared" si="3"/>
        <v>0</v>
      </c>
      <c r="Q54" s="146">
        <f>VLOOKUP($C54,Proyecciones!$C$7:$I$21,Q$13,FALSE)</f>
        <v>467699</v>
      </c>
      <c r="R54" s="148"/>
      <c r="S54" s="149">
        <f t="shared" si="4"/>
        <v>0</v>
      </c>
    </row>
    <row r="55" spans="3:19" ht="15.75" thickTop="1" x14ac:dyDescent="0.25">
      <c r="E55" s="31"/>
      <c r="F55" s="31"/>
      <c r="G55" s="32"/>
      <c r="H55" s="31"/>
      <c r="I55" s="31"/>
      <c r="J55" s="32"/>
      <c r="K55" s="31"/>
      <c r="L55" s="31"/>
      <c r="M55" s="32"/>
      <c r="N55" s="31"/>
      <c r="O55" s="31"/>
      <c r="P55" s="32"/>
      <c r="Q55" s="31"/>
      <c r="R55" s="31"/>
      <c r="S55" s="32"/>
    </row>
    <row r="56" spans="3:19" x14ac:dyDescent="0.25">
      <c r="E56" s="40"/>
      <c r="H56" s="40"/>
      <c r="K56" s="40"/>
      <c r="N56" s="40"/>
      <c r="Q56" s="40"/>
    </row>
    <row r="58" spans="3:19" x14ac:dyDescent="0.25">
      <c r="G58"/>
    </row>
    <row r="59" spans="3:19" x14ac:dyDescent="0.25">
      <c r="G59"/>
    </row>
  </sheetData>
  <mergeCells count="16">
    <mergeCell ref="C36:C39"/>
    <mergeCell ref="C40:C43"/>
    <mergeCell ref="C44:C47"/>
    <mergeCell ref="C48:C51"/>
    <mergeCell ref="Q14:S14"/>
    <mergeCell ref="C16:C19"/>
    <mergeCell ref="C20:C23"/>
    <mergeCell ref="C24:C27"/>
    <mergeCell ref="C28:C31"/>
    <mergeCell ref="K14:M14"/>
    <mergeCell ref="N14:P14"/>
    <mergeCell ref="C32:C35"/>
    <mergeCell ref="C14:C15"/>
    <mergeCell ref="D14:D15"/>
    <mergeCell ref="E14:G14"/>
    <mergeCell ref="H14:J14"/>
  </mergeCells>
  <conditionalFormatting sqref="G16:G54 J16:J54 M16:M54 P16:P54 S16:S54">
    <cfRule type="cellIs" dxfId="3" priority="1" operator="lessThan">
      <formula>0.6</formula>
    </cfRule>
    <cfRule type="cellIs" dxfId="2" priority="2" operator="between">
      <formula>0.84</formula>
      <formula>0.6</formula>
    </cfRule>
    <cfRule type="cellIs" dxfId="1" priority="3" operator="greaterThanOrEqual">
      <formula>0.85</formula>
    </cfRule>
    <cfRule type="cellIs" dxfId="0" priority="4" operator="greaterThan">
      <formula>0.99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2CD5-B3F7-4D47-9462-3DA8BCBB0E60}">
  <sheetPr>
    <tabColor theme="8" tint="0.79998168889431442"/>
  </sheetPr>
  <dimension ref="B2:E45"/>
  <sheetViews>
    <sheetView showGridLines="0" zoomScale="90" zoomScaleNormal="90" workbookViewId="0"/>
  </sheetViews>
  <sheetFormatPr baseColWidth="10" defaultColWidth="11.42578125" defaultRowHeight="15" x14ac:dyDescent="0.25"/>
  <cols>
    <col min="1" max="1" width="2.42578125" customWidth="1"/>
    <col min="2" max="2" width="4.5703125" customWidth="1"/>
    <col min="3" max="3" width="28.28515625" customWidth="1"/>
    <col min="4" max="4" width="60" bestFit="1" customWidth="1"/>
    <col min="5" max="5" width="239" customWidth="1"/>
  </cols>
  <sheetData>
    <row r="2" spans="2:5" ht="18.75" x14ac:dyDescent="0.3">
      <c r="B2" s="14" t="s">
        <v>346</v>
      </c>
    </row>
    <row r="3" spans="2:5" ht="15.75" x14ac:dyDescent="0.25">
      <c r="B3" s="15" t="s">
        <v>92</v>
      </c>
    </row>
    <row r="5" spans="2:5" x14ac:dyDescent="0.25">
      <c r="C5" s="115" t="s">
        <v>34</v>
      </c>
      <c r="D5" s="116" t="s">
        <v>94</v>
      </c>
      <c r="E5" s="116" t="s">
        <v>93</v>
      </c>
    </row>
    <row r="6" spans="2:5" x14ac:dyDescent="0.25">
      <c r="C6" s="9" t="s">
        <v>13</v>
      </c>
      <c r="D6" s="6" t="s">
        <v>264</v>
      </c>
      <c r="E6" s="6" t="s">
        <v>35</v>
      </c>
    </row>
    <row r="7" spans="2:5" x14ac:dyDescent="0.25">
      <c r="C7" s="259" t="s">
        <v>14</v>
      </c>
      <c r="D7" s="5" t="s">
        <v>36</v>
      </c>
      <c r="E7" s="5" t="s">
        <v>37</v>
      </c>
    </row>
    <row r="8" spans="2:5" x14ac:dyDescent="0.25">
      <c r="C8" s="260"/>
      <c r="D8" s="5" t="s">
        <v>38</v>
      </c>
      <c r="E8" s="5" t="s">
        <v>39</v>
      </c>
    </row>
    <row r="9" spans="2:5" x14ac:dyDescent="0.25">
      <c r="C9" s="260"/>
      <c r="D9" s="5" t="s">
        <v>59</v>
      </c>
      <c r="E9" s="5" t="s">
        <v>42</v>
      </c>
    </row>
    <row r="10" spans="2:5" x14ac:dyDescent="0.25">
      <c r="C10" s="261"/>
      <c r="D10" s="5" t="s">
        <v>40</v>
      </c>
      <c r="E10" s="5" t="s">
        <v>41</v>
      </c>
    </row>
    <row r="11" spans="2:5" x14ac:dyDescent="0.25">
      <c r="C11" s="259" t="s">
        <v>15</v>
      </c>
      <c r="D11" s="5" t="s">
        <v>45</v>
      </c>
      <c r="E11" s="5" t="s">
        <v>46</v>
      </c>
    </row>
    <row r="12" spans="2:5" x14ac:dyDescent="0.25">
      <c r="C12" s="260"/>
      <c r="D12" s="5" t="s">
        <v>44</v>
      </c>
      <c r="E12" s="5" t="s">
        <v>50</v>
      </c>
    </row>
    <row r="13" spans="2:5" x14ac:dyDescent="0.25">
      <c r="C13" s="260"/>
      <c r="D13" s="6" t="s">
        <v>17</v>
      </c>
      <c r="E13" s="6" t="s">
        <v>47</v>
      </c>
    </row>
    <row r="14" spans="2:5" x14ac:dyDescent="0.25">
      <c r="C14" s="260"/>
      <c r="D14" s="5" t="s">
        <v>40</v>
      </c>
      <c r="E14" s="5" t="s">
        <v>43</v>
      </c>
    </row>
    <row r="15" spans="2:5" x14ac:dyDescent="0.25">
      <c r="C15" s="260"/>
      <c r="D15" s="5" t="s">
        <v>52</v>
      </c>
      <c r="E15" s="5" t="s">
        <v>53</v>
      </c>
    </row>
    <row r="16" spans="2:5" x14ac:dyDescent="0.25">
      <c r="C16" s="259" t="s">
        <v>16</v>
      </c>
      <c r="D16" s="5" t="s">
        <v>45</v>
      </c>
      <c r="E16" s="6" t="s">
        <v>48</v>
      </c>
    </row>
    <row r="17" spans="3:5" x14ac:dyDescent="0.25">
      <c r="C17" s="260"/>
      <c r="D17" s="7" t="s">
        <v>17</v>
      </c>
      <c r="E17" s="6" t="s">
        <v>49</v>
      </c>
    </row>
    <row r="18" spans="3:5" x14ac:dyDescent="0.25">
      <c r="C18" s="260"/>
      <c r="D18" s="5" t="s">
        <v>44</v>
      </c>
      <c r="E18" s="5" t="s">
        <v>51</v>
      </c>
    </row>
    <row r="19" spans="3:5" x14ac:dyDescent="0.25">
      <c r="C19" s="260"/>
      <c r="D19" s="5" t="s">
        <v>54</v>
      </c>
      <c r="E19" s="5" t="s">
        <v>55</v>
      </c>
    </row>
    <row r="20" spans="3:5" x14ac:dyDescent="0.25">
      <c r="C20" s="260"/>
      <c r="D20" s="8" t="s">
        <v>56</v>
      </c>
      <c r="E20" s="8" t="s">
        <v>57</v>
      </c>
    </row>
    <row r="21" spans="3:5" x14ac:dyDescent="0.25">
      <c r="C21" s="261"/>
      <c r="D21" s="5" t="s">
        <v>40</v>
      </c>
      <c r="E21" s="5" t="s">
        <v>58</v>
      </c>
    </row>
    <row r="22" spans="3:5" x14ac:dyDescent="0.25">
      <c r="C22" s="259" t="s">
        <v>18</v>
      </c>
      <c r="D22" s="5" t="s">
        <v>19</v>
      </c>
      <c r="E22" s="5" t="s">
        <v>60</v>
      </c>
    </row>
    <row r="23" spans="3:5" x14ac:dyDescent="0.25">
      <c r="C23" s="260"/>
      <c r="D23" s="5" t="s">
        <v>71</v>
      </c>
      <c r="E23" s="5" t="s">
        <v>70</v>
      </c>
    </row>
    <row r="24" spans="3:5" x14ac:dyDescent="0.25">
      <c r="C24" s="260"/>
      <c r="D24" s="5" t="s">
        <v>75</v>
      </c>
      <c r="E24" s="5" t="s">
        <v>72</v>
      </c>
    </row>
    <row r="25" spans="3:5" x14ac:dyDescent="0.25">
      <c r="C25" s="260"/>
      <c r="D25" s="6" t="s">
        <v>61</v>
      </c>
      <c r="E25" s="6" t="s">
        <v>62</v>
      </c>
    </row>
    <row r="26" spans="3:5" x14ac:dyDescent="0.25">
      <c r="C26" s="259" t="s">
        <v>20</v>
      </c>
      <c r="D26" s="6" t="s">
        <v>63</v>
      </c>
      <c r="E26" s="6" t="s">
        <v>64</v>
      </c>
    </row>
    <row r="27" spans="3:5" x14ac:dyDescent="0.25">
      <c r="C27" s="260"/>
      <c r="D27" s="5" t="s">
        <v>19</v>
      </c>
      <c r="E27" s="6" t="s">
        <v>67</v>
      </c>
    </row>
    <row r="28" spans="3:5" x14ac:dyDescent="0.25">
      <c r="C28" s="261"/>
      <c r="D28" s="6" t="s">
        <v>65</v>
      </c>
      <c r="E28" s="6" t="s">
        <v>66</v>
      </c>
    </row>
    <row r="29" spans="3:5" x14ac:dyDescent="0.25">
      <c r="C29" s="259" t="s">
        <v>21</v>
      </c>
      <c r="D29" s="6" t="s">
        <v>63</v>
      </c>
      <c r="E29" s="6" t="s">
        <v>68</v>
      </c>
    </row>
    <row r="30" spans="3:5" x14ac:dyDescent="0.25">
      <c r="C30" s="260"/>
      <c r="D30" s="5" t="s">
        <v>19</v>
      </c>
      <c r="E30" s="6" t="s">
        <v>67</v>
      </c>
    </row>
    <row r="31" spans="3:5" x14ac:dyDescent="0.25">
      <c r="C31" s="261"/>
      <c r="D31" s="6" t="s">
        <v>65</v>
      </c>
      <c r="E31" s="6" t="s">
        <v>69</v>
      </c>
    </row>
    <row r="32" spans="3:5" x14ac:dyDescent="0.25">
      <c r="C32" s="259" t="s">
        <v>22</v>
      </c>
      <c r="D32" s="6" t="s">
        <v>73</v>
      </c>
      <c r="E32" s="6" t="s">
        <v>74</v>
      </c>
    </row>
    <row r="33" spans="3:5" x14ac:dyDescent="0.25">
      <c r="C33" s="260"/>
      <c r="D33" s="6" t="s">
        <v>23</v>
      </c>
      <c r="E33" s="6" t="s">
        <v>76</v>
      </c>
    </row>
    <row r="34" spans="3:5" x14ac:dyDescent="0.25">
      <c r="C34" s="261"/>
      <c r="D34" s="6" t="s">
        <v>75</v>
      </c>
      <c r="E34" s="6" t="s">
        <v>319</v>
      </c>
    </row>
    <row r="35" spans="3:5" x14ac:dyDescent="0.25">
      <c r="C35" s="264" t="s">
        <v>24</v>
      </c>
      <c r="D35" s="7" t="s">
        <v>77</v>
      </c>
      <c r="E35" s="6" t="s">
        <v>78</v>
      </c>
    </row>
    <row r="36" spans="3:5" x14ac:dyDescent="0.25">
      <c r="C36" s="265"/>
      <c r="D36" s="7" t="s">
        <v>25</v>
      </c>
      <c r="E36" s="6" t="s">
        <v>79</v>
      </c>
    </row>
    <row r="37" spans="3:5" x14ac:dyDescent="0.25">
      <c r="C37" s="266"/>
      <c r="D37" s="7" t="s">
        <v>80</v>
      </c>
      <c r="E37" s="6" t="s">
        <v>81</v>
      </c>
    </row>
    <row r="38" spans="3:5" x14ac:dyDescent="0.25">
      <c r="C38" s="12" t="s">
        <v>26</v>
      </c>
      <c r="D38" s="7" t="s">
        <v>82</v>
      </c>
      <c r="E38" s="6" t="s">
        <v>83</v>
      </c>
    </row>
    <row r="39" spans="3:5" x14ac:dyDescent="0.25">
      <c r="C39" s="262" t="s">
        <v>27</v>
      </c>
      <c r="D39" s="7" t="s">
        <v>82</v>
      </c>
      <c r="E39" s="6" t="s">
        <v>86</v>
      </c>
    </row>
    <row r="40" spans="3:5" x14ac:dyDescent="0.25">
      <c r="C40" s="263"/>
      <c r="D40" s="7" t="s">
        <v>84</v>
      </c>
      <c r="E40" s="6" t="s">
        <v>85</v>
      </c>
    </row>
    <row r="41" spans="3:5" x14ac:dyDescent="0.25">
      <c r="C41" s="12" t="s">
        <v>28</v>
      </c>
      <c r="D41" s="7" t="s">
        <v>88</v>
      </c>
      <c r="E41" s="6" t="s">
        <v>87</v>
      </c>
    </row>
    <row r="42" spans="3:5" x14ac:dyDescent="0.25">
      <c r="C42" s="11" t="s">
        <v>29</v>
      </c>
      <c r="D42" s="7" t="s">
        <v>89</v>
      </c>
      <c r="E42" s="5" t="s">
        <v>90</v>
      </c>
    </row>
    <row r="43" spans="3:5" x14ac:dyDescent="0.25">
      <c r="C43" s="12" t="s">
        <v>30</v>
      </c>
      <c r="D43" s="7" t="s">
        <v>91</v>
      </c>
      <c r="E43" s="5" t="s">
        <v>318</v>
      </c>
    </row>
    <row r="44" spans="3:5" x14ac:dyDescent="0.25">
      <c r="C44" s="258" t="s">
        <v>148</v>
      </c>
      <c r="D44" s="7" t="s">
        <v>332</v>
      </c>
      <c r="E44" s="5" t="s">
        <v>333</v>
      </c>
    </row>
    <row r="45" spans="3:5" x14ac:dyDescent="0.25">
      <c r="C45" s="258"/>
      <c r="D45" s="5" t="s">
        <v>334</v>
      </c>
      <c r="E45" s="5" t="s">
        <v>299</v>
      </c>
    </row>
  </sheetData>
  <mergeCells count="10">
    <mergeCell ref="C44:C45"/>
    <mergeCell ref="C7:C10"/>
    <mergeCell ref="C11:C15"/>
    <mergeCell ref="C16:C21"/>
    <mergeCell ref="C22:C25"/>
    <mergeCell ref="C39:C40"/>
    <mergeCell ref="C26:C28"/>
    <mergeCell ref="C29:C31"/>
    <mergeCell ref="C32:C34"/>
    <mergeCell ref="C35:C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A039-C476-466B-946B-666EF03B1B8E}">
  <sheetPr>
    <tabColor theme="9" tint="0.79998168889431442"/>
  </sheetPr>
  <dimension ref="B2:O74"/>
  <sheetViews>
    <sheetView showGridLines="0" zoomScaleNormal="100" workbookViewId="0"/>
  </sheetViews>
  <sheetFormatPr baseColWidth="10" defaultRowHeight="15" x14ac:dyDescent="0.25"/>
  <cols>
    <col min="1" max="2" width="2.7109375" customWidth="1"/>
    <col min="3" max="3" width="17.7109375" customWidth="1"/>
    <col min="4" max="11" width="14.85546875" bestFit="1" customWidth="1"/>
    <col min="12" max="12" width="11" bestFit="1" customWidth="1"/>
    <col min="16" max="16" width="5.42578125" customWidth="1"/>
  </cols>
  <sheetData>
    <row r="2" spans="2:15" ht="18.75" x14ac:dyDescent="0.3">
      <c r="B2" s="14" t="s">
        <v>121</v>
      </c>
    </row>
    <row r="3" spans="2:15" x14ac:dyDescent="0.25">
      <c r="B3" t="s">
        <v>295</v>
      </c>
    </row>
    <row r="5" spans="2:15" ht="15.75" x14ac:dyDescent="0.25">
      <c r="C5" s="1" t="s">
        <v>165</v>
      </c>
    </row>
    <row r="6" spans="2:15" ht="8.25" customHeight="1" x14ac:dyDescent="0.25"/>
    <row r="7" spans="2:15" x14ac:dyDescent="0.25">
      <c r="C7" s="112" t="s">
        <v>99</v>
      </c>
      <c r="D7" s="124">
        <v>2023</v>
      </c>
      <c r="E7" s="124">
        <v>2024</v>
      </c>
      <c r="F7" s="124">
        <v>2025</v>
      </c>
      <c r="G7" s="124">
        <v>2026</v>
      </c>
      <c r="H7" s="124">
        <v>2027</v>
      </c>
      <c r="I7" s="124">
        <v>2028</v>
      </c>
      <c r="J7" s="124" t="s">
        <v>166</v>
      </c>
      <c r="L7" s="124" t="s">
        <v>125</v>
      </c>
      <c r="M7" s="124" t="s">
        <v>126</v>
      </c>
      <c r="N7" s="124" t="s">
        <v>127</v>
      </c>
      <c r="O7" s="124" t="s">
        <v>164</v>
      </c>
    </row>
    <row r="8" spans="2:15" x14ac:dyDescent="0.25">
      <c r="C8" t="s">
        <v>10</v>
      </c>
      <c r="D8" s="40">
        <f>'Inputs &amp; assumptions'!H28</f>
        <v>64573.942982020468</v>
      </c>
      <c r="E8" s="40">
        <f>'Inputs &amp; assumptions'!G9</f>
        <v>80394</v>
      </c>
      <c r="F8" s="40">
        <f>E8*(1+'Inputs &amp; assumptions'!$M$9)</f>
        <v>83462.695802157017</v>
      </c>
      <c r="G8" s="40">
        <f>F8*(1+'Inputs &amp; assumptions'!$M$9)</f>
        <v>86648.525892024263</v>
      </c>
      <c r="H8" s="40">
        <f>G8*(1+'Inputs &amp; assumptions'!$M$9)</f>
        <v>89955.961368153687</v>
      </c>
      <c r="I8" s="40">
        <f>H8*(1+'Inputs &amp; assumptions'!$M$9)</f>
        <v>93389.6439940891</v>
      </c>
      <c r="J8" s="119">
        <f>(I8/D8)^(1/($I$7-$D$7))-1</f>
        <v>7.6584896559979354E-2</v>
      </c>
      <c r="L8" s="41">
        <f t="shared" ref="L8:L21" si="0">(F8-E8)/E8</f>
        <v>3.8170706795992451E-2</v>
      </c>
      <c r="M8" s="41">
        <f t="shared" ref="M8:M21" si="1">(G8-F8)/F8</f>
        <v>3.8170706795992458E-2</v>
      </c>
      <c r="N8" s="41">
        <f t="shared" ref="N8:N21" si="2">(H8-G8)/G8</f>
        <v>3.8170706795992507E-2</v>
      </c>
      <c r="O8" s="41">
        <f t="shared" ref="O8:O21" si="3">(I8-H8)/H8</f>
        <v>3.8170706795992389E-2</v>
      </c>
    </row>
    <row r="9" spans="2:15" x14ac:dyDescent="0.25">
      <c r="C9" t="s">
        <v>31</v>
      </c>
      <c r="D9" s="40">
        <f>'Inputs &amp; assumptions'!$H$10*80%</f>
        <v>1148373.6000000001</v>
      </c>
      <c r="E9" s="40">
        <f>'Inputs &amp; assumptions'!$H$10</f>
        <v>1435467</v>
      </c>
      <c r="F9" s="40">
        <f>E9*(1+'Inputs &amp; assumptions'!$N$10)</f>
        <v>1503285.6372380091</v>
      </c>
      <c r="G9" s="40">
        <f>F9</f>
        <v>1503285.6372380091</v>
      </c>
      <c r="H9" s="40">
        <f>G9</f>
        <v>1503285.6372380091</v>
      </c>
      <c r="I9" s="40">
        <f>H9</f>
        <v>1503285.6372380091</v>
      </c>
      <c r="J9" s="119">
        <f t="shared" ref="J9:J21" si="4">(I9/D9)^(1/($I$7-$D$7))-1</f>
        <v>5.5338207507577009E-2</v>
      </c>
      <c r="L9" s="41">
        <f t="shared" si="0"/>
        <v>4.724499918006414E-2</v>
      </c>
      <c r="M9" s="41">
        <f t="shared" si="1"/>
        <v>0</v>
      </c>
      <c r="N9" s="41">
        <f t="shared" si="2"/>
        <v>0</v>
      </c>
      <c r="O9" s="41">
        <f t="shared" si="3"/>
        <v>0</v>
      </c>
    </row>
    <row r="10" spans="2:15" x14ac:dyDescent="0.25">
      <c r="C10" t="s">
        <v>11</v>
      </c>
      <c r="D10" s="40">
        <f>'Inputs &amp; assumptions'!H30</f>
        <v>35071.210634565359</v>
      </c>
      <c r="E10" s="40">
        <f>'Inputs &amp; assumptions'!G11</f>
        <v>52653</v>
      </c>
      <c r="F10" s="40">
        <f>E10*(1+'Inputs &amp; assumptions'!$M$11)</f>
        <v>54194.675600470298</v>
      </c>
      <c r="G10" s="40">
        <f>F10*(1+'Inputs &amp; assumptions'!$M$11)</f>
        <v>55781.491338389278</v>
      </c>
      <c r="H10" s="40">
        <f>G10*(1+'Inputs &amp; assumptions'!$M$11)</f>
        <v>57414.76891334683</v>
      </c>
      <c r="I10" s="40">
        <f>H10*(1+'Inputs &amp; assumptions'!$M$11)</f>
        <v>59095.868724190419</v>
      </c>
      <c r="J10" s="119">
        <f t="shared" si="4"/>
        <v>0.1099956395132633</v>
      </c>
      <c r="L10" s="41">
        <f t="shared" si="0"/>
        <v>2.9279919481706614E-2</v>
      </c>
      <c r="M10" s="41">
        <f t="shared" si="1"/>
        <v>2.9279919481706603E-2</v>
      </c>
      <c r="N10" s="41">
        <f t="shared" si="2"/>
        <v>2.92799194817066E-2</v>
      </c>
      <c r="O10" s="41">
        <f t="shared" si="3"/>
        <v>2.9279919481706641E-2</v>
      </c>
    </row>
    <row r="11" spans="2:15" x14ac:dyDescent="0.25">
      <c r="C11" t="s">
        <v>33</v>
      </c>
      <c r="D11" s="40">
        <f>'Inputs &amp; assumptions'!H31</f>
        <v>382611.9479653436</v>
      </c>
      <c r="E11" s="40">
        <f>'Inputs &amp; assumptions'!$H$12</f>
        <v>467699</v>
      </c>
      <c r="F11" s="40">
        <f>'Inputs &amp; assumptions'!$H$12</f>
        <v>467699</v>
      </c>
      <c r="G11" s="40">
        <f>'Inputs &amp; assumptions'!$H$12</f>
        <v>467699</v>
      </c>
      <c r="H11" s="40">
        <f>'Inputs &amp; assumptions'!$H$12</f>
        <v>467699</v>
      </c>
      <c r="I11" s="40">
        <f>'Inputs &amp; assumptions'!$H$12</f>
        <v>467699</v>
      </c>
      <c r="J11" s="119">
        <f t="shared" si="4"/>
        <v>4.0978075433753647E-2</v>
      </c>
      <c r="L11" s="41">
        <f t="shared" si="0"/>
        <v>0</v>
      </c>
      <c r="M11" s="41">
        <f t="shared" si="1"/>
        <v>0</v>
      </c>
      <c r="N11" s="41">
        <f t="shared" si="2"/>
        <v>0</v>
      </c>
      <c r="O11" s="41">
        <f t="shared" si="3"/>
        <v>0</v>
      </c>
    </row>
    <row r="12" spans="2:15" x14ac:dyDescent="0.25">
      <c r="C12" t="s">
        <v>4</v>
      </c>
      <c r="D12" s="40">
        <f>'Inputs &amp; assumptions'!H32</f>
        <v>471318.8123489017</v>
      </c>
      <c r="E12" s="40">
        <f>'Inputs &amp; assumptions'!G13</f>
        <v>589172</v>
      </c>
      <c r="F12" s="40">
        <f>E12*(1+'Inputs &amp; assumptions'!$M$13)</f>
        <v>615216.35512019729</v>
      </c>
      <c r="G12" s="40">
        <f>F12*(1+'Inputs &amp; assumptions'!$M$13)</f>
        <v>642412.00126173801</v>
      </c>
      <c r="H12" s="40">
        <f>G12*(1+'Inputs &amp; assumptions'!$M$13)</f>
        <v>670809.83125762595</v>
      </c>
      <c r="I12" s="40">
        <f>H12*(1+'Inputs &amp; assumptions'!$M$13)</f>
        <v>700462.98765914061</v>
      </c>
      <c r="J12" s="119">
        <f t="shared" si="4"/>
        <v>8.2465549742122057E-2</v>
      </c>
      <c r="L12" s="41">
        <f t="shared" si="0"/>
        <v>4.4205011643793812E-2</v>
      </c>
      <c r="M12" s="41">
        <f t="shared" si="1"/>
        <v>4.4205011643793833E-2</v>
      </c>
      <c r="N12" s="41">
        <f t="shared" si="2"/>
        <v>4.4205011643793694E-2</v>
      </c>
      <c r="O12" s="41">
        <f t="shared" si="3"/>
        <v>4.4205011643793722E-2</v>
      </c>
    </row>
    <row r="13" spans="2:15" x14ac:dyDescent="0.25">
      <c r="C13" t="s">
        <v>12</v>
      </c>
      <c r="D13" s="40">
        <f>'Inputs &amp; assumptions'!H33</f>
        <v>138507.01891846035</v>
      </c>
      <c r="E13" s="40">
        <f>'Inputs &amp; assumptions'!G14</f>
        <v>132515</v>
      </c>
      <c r="F13" s="40">
        <f>E13*(1+'Inputs &amp; assumptions'!$M$14)</f>
        <v>140163.23111812357</v>
      </c>
      <c r="G13" s="40">
        <f>F13*(1+'Inputs &amp; assumptions'!$M$14)</f>
        <v>148252.88727670469</v>
      </c>
      <c r="H13" s="40">
        <f>G13*(1+'Inputs &amp; assumptions'!$M$14)</f>
        <v>156809.44574798233</v>
      </c>
      <c r="I13" s="40">
        <f>H13*(1+'Inputs &amp; assumptions'!$M$14)</f>
        <v>165859.85424955143</v>
      </c>
      <c r="J13" s="119">
        <f t="shared" si="4"/>
        <v>3.6701911899915229E-2</v>
      </c>
      <c r="L13" s="41">
        <f t="shared" si="0"/>
        <v>5.7715965121862209E-2</v>
      </c>
      <c r="M13" s="41">
        <f t="shared" si="1"/>
        <v>5.7715965121862084E-2</v>
      </c>
      <c r="N13" s="41">
        <f t="shared" si="2"/>
        <v>5.7715965121862139E-2</v>
      </c>
      <c r="O13" s="41">
        <f t="shared" si="3"/>
        <v>5.7715965121862223E-2</v>
      </c>
    </row>
    <row r="14" spans="2:15" x14ac:dyDescent="0.25">
      <c r="C14" t="s">
        <v>101</v>
      </c>
      <c r="D14" s="40">
        <f>'Inputs &amp; assumptions'!H34</f>
        <v>185216.40223120168</v>
      </c>
      <c r="E14" s="40">
        <f>'Inputs &amp; assumptions'!G15</f>
        <v>222355</v>
      </c>
      <c r="F14" s="40">
        <f>E14*(1+'Inputs &amp; assumptions'!$M$15)</f>
        <v>232933.52731208786</v>
      </c>
      <c r="G14" s="40">
        <f>F14*(1+'Inputs &amp; assumptions'!$M$15)</f>
        <v>244015.32749904963</v>
      </c>
      <c r="H14" s="40">
        <f>G14*(1+'Inputs &amp; assumptions'!$M$15)</f>
        <v>255624.34374117039</v>
      </c>
      <c r="I14" s="40">
        <f>H14*(1+'Inputs &amp; assumptions'!$M$15)</f>
        <v>267785.65831426525</v>
      </c>
      <c r="J14" s="119">
        <f t="shared" si="4"/>
        <v>7.6518689437989451E-2</v>
      </c>
      <c r="L14" s="41">
        <f t="shared" si="0"/>
        <v>4.7574946873638349E-2</v>
      </c>
      <c r="M14" s="41">
        <f t="shared" si="1"/>
        <v>4.7574946873638377E-2</v>
      </c>
      <c r="N14" s="41">
        <f t="shared" si="2"/>
        <v>4.7574946873638412E-2</v>
      </c>
      <c r="O14" s="41">
        <f t="shared" si="3"/>
        <v>4.7574946873638391E-2</v>
      </c>
    </row>
    <row r="15" spans="2:15" x14ac:dyDescent="0.25">
      <c r="C15" t="s">
        <v>7</v>
      </c>
      <c r="D15" s="40">
        <f>'Inputs &amp; assumptions'!H35</f>
        <v>78196.8244148698</v>
      </c>
      <c r="E15" s="40">
        <f>'Inputs &amp; assumptions'!G16</f>
        <v>81281</v>
      </c>
      <c r="F15" s="40">
        <f>E15*(1+'Inputs &amp; assumptions'!$M$16)</f>
        <v>84742.686082807864</v>
      </c>
      <c r="G15" s="40">
        <f>F15*(1+'Inputs &amp; assumptions'!$M$16)</f>
        <v>88351.80232193647</v>
      </c>
      <c r="H15" s="40">
        <f>G15*(1+'Inputs &amp; assumptions'!$M$16)</f>
        <v>92114.627637678641</v>
      </c>
      <c r="I15" s="40">
        <f>H15*(1+'Inputs &amp; assumptions'!$M$16)</f>
        <v>96037.708364003134</v>
      </c>
      <c r="J15" s="119">
        <f t="shared" si="4"/>
        <v>4.1958769902127768E-2</v>
      </c>
      <c r="L15" s="41">
        <f t="shared" si="0"/>
        <v>4.2589117786541314E-2</v>
      </c>
      <c r="M15" s="41">
        <f t="shared" si="1"/>
        <v>4.2589117786541383E-2</v>
      </c>
      <c r="N15" s="41">
        <f t="shared" si="2"/>
        <v>4.2589117786541369E-2</v>
      </c>
      <c r="O15" s="41">
        <f t="shared" si="3"/>
        <v>4.2589117786541356E-2</v>
      </c>
    </row>
    <row r="16" spans="2:15" x14ac:dyDescent="0.25">
      <c r="C16" t="s">
        <v>9</v>
      </c>
      <c r="D16" s="40">
        <f>'Inputs &amp; assumptions'!H36</f>
        <v>69539.504763347475</v>
      </c>
      <c r="E16" s="40">
        <f>'Inputs &amp; assumptions'!G17</f>
        <v>87197</v>
      </c>
      <c r="F16" s="40">
        <f>E16*(1+'Inputs &amp; assumptions'!$M$17)</f>
        <v>92091.729234769402</v>
      </c>
      <c r="G16" s="40">
        <f>F16*(1+'Inputs &amp; assumptions'!$M$17)</f>
        <v>97261.219920984455</v>
      </c>
      <c r="H16" s="40">
        <f>G16*(1+'Inputs &amp; assumptions'!$M$17)</f>
        <v>102720.89555840981</v>
      </c>
      <c r="I16" s="40">
        <f>H16*(1+'Inputs &amp; assumptions'!$M$17)</f>
        <v>108487.0454318165</v>
      </c>
      <c r="J16" s="119">
        <f t="shared" si="4"/>
        <v>9.3022891592864365E-2</v>
      </c>
      <c r="L16" s="41">
        <f t="shared" si="0"/>
        <v>5.6134147215723039E-2</v>
      </c>
      <c r="M16" s="41">
        <f t="shared" si="1"/>
        <v>5.613414721572306E-2</v>
      </c>
      <c r="N16" s="41">
        <f t="shared" si="2"/>
        <v>5.6134147215723081E-2</v>
      </c>
      <c r="O16" s="41">
        <f t="shared" si="3"/>
        <v>5.6134147215723011E-2</v>
      </c>
    </row>
    <row r="17" spans="3:15" x14ac:dyDescent="0.25">
      <c r="C17" t="s">
        <v>102</v>
      </c>
      <c r="D17" s="40">
        <f>'Inputs &amp; assumptions'!H37</f>
        <v>329143.22283788415</v>
      </c>
      <c r="E17" s="40">
        <f>'Inputs &amp; assumptions'!G18</f>
        <v>388942</v>
      </c>
      <c r="F17" s="40">
        <f>E17*(1+'Inputs &amp; assumptions'!$M$18)</f>
        <v>402004.96332598542</v>
      </c>
      <c r="G17" s="40">
        <f>F17*(1+'Inputs &amp; assumptions'!$M$18)</f>
        <v>415506.65790458961</v>
      </c>
      <c r="H17" s="40">
        <f>G17</f>
        <v>415506.65790458961</v>
      </c>
      <c r="I17" s="40">
        <f>H17</f>
        <v>415506.65790458961</v>
      </c>
      <c r="J17" s="119">
        <f t="shared" si="4"/>
        <v>4.7704028897974204E-2</v>
      </c>
      <c r="L17" s="41">
        <f t="shared" si="0"/>
        <v>3.3585890250951086E-2</v>
      </c>
      <c r="M17" s="41">
        <f t="shared" si="1"/>
        <v>3.3585890250951156E-2</v>
      </c>
      <c r="N17" s="41">
        <f t="shared" si="2"/>
        <v>0</v>
      </c>
      <c r="O17" s="41">
        <f t="shared" si="3"/>
        <v>0</v>
      </c>
    </row>
    <row r="18" spans="3:15" x14ac:dyDescent="0.25">
      <c r="C18" t="s">
        <v>8</v>
      </c>
      <c r="D18" s="40">
        <f>'Inputs &amp; assumptions'!H38</f>
        <v>48671.443129554027</v>
      </c>
      <c r="E18" s="40">
        <f>'Inputs &amp; assumptions'!G19</f>
        <v>57988</v>
      </c>
      <c r="F18" s="40">
        <f>E18*(1+'Inputs &amp; assumptions'!$M$19)</f>
        <v>61616.640073693401</v>
      </c>
      <c r="G18" s="40">
        <f>F18*(1+'Inputs &amp; assumptions'!$M$19)</f>
        <v>65472.344863955987</v>
      </c>
      <c r="H18" s="40">
        <f>G18*(1+'Inputs &amp; assumptions'!$M$19)</f>
        <v>69569.323105868534</v>
      </c>
      <c r="I18" s="40">
        <f>H18*(1+'Inputs &amp; assumptions'!$M$19)</f>
        <v>73922.672656149269</v>
      </c>
      <c r="J18" s="119">
        <f t="shared" si="4"/>
        <v>8.7178079822040511E-2</v>
      </c>
      <c r="L18" s="41">
        <f t="shared" si="0"/>
        <v>6.2575706589180533E-2</v>
      </c>
      <c r="M18" s="41">
        <f t="shared" si="1"/>
        <v>6.2575706589180602E-2</v>
      </c>
      <c r="N18" s="41">
        <f t="shared" si="2"/>
        <v>6.2575706589180491E-2</v>
      </c>
      <c r="O18" s="41">
        <f t="shared" si="3"/>
        <v>6.2575706589180644E-2</v>
      </c>
    </row>
    <row r="19" spans="3:15" x14ac:dyDescent="0.25">
      <c r="C19" t="s">
        <v>103</v>
      </c>
      <c r="D19" s="40">
        <f>'Inputs &amp; assumptions'!H39</f>
        <v>52514.572102855156</v>
      </c>
      <c r="E19" s="40">
        <f>'Inputs &amp; assumptions'!H20</f>
        <v>57677</v>
      </c>
      <c r="F19" s="40">
        <f>E19*(1+'Inputs &amp; assumptions'!$N$20)</f>
        <v>59118.924999999996</v>
      </c>
      <c r="G19" s="40">
        <f>F19*(1+'Inputs &amp; assumptions'!$N$20)</f>
        <v>60596.898124999992</v>
      </c>
      <c r="H19" s="40">
        <f>G19*(1+'Inputs &amp; assumptions'!$N$20)</f>
        <v>62111.820578124985</v>
      </c>
      <c r="I19" s="40">
        <f>H19*(1+'Inputs &amp; assumptions'!$N$20)</f>
        <v>63664.616092578108</v>
      </c>
      <c r="J19" s="119">
        <f t="shared" si="4"/>
        <v>3.9258675734505255E-2</v>
      </c>
      <c r="L19" s="41">
        <f t="shared" si="0"/>
        <v>2.4999999999999925E-2</v>
      </c>
      <c r="M19" s="41">
        <f t="shared" si="1"/>
        <v>2.4999999999999949E-2</v>
      </c>
      <c r="N19" s="41">
        <f t="shared" si="2"/>
        <v>2.4999999999999887E-2</v>
      </c>
      <c r="O19" s="41">
        <f t="shared" si="3"/>
        <v>2.4999999999999963E-2</v>
      </c>
    </row>
    <row r="20" spans="3:15" x14ac:dyDescent="0.25">
      <c r="C20" t="s">
        <v>104</v>
      </c>
      <c r="D20" s="40">
        <f>'Inputs &amp; assumptions'!H40</f>
        <v>581121.56491200137</v>
      </c>
      <c r="E20" s="40">
        <f>'Inputs &amp; assumptions'!G21</f>
        <v>784833</v>
      </c>
      <c r="F20" s="40">
        <f>E20*(1+'Inputs &amp; assumptions'!$M$22)</f>
        <v>786187.80644149869</v>
      </c>
      <c r="G20" s="40">
        <f>F20*(1+'Inputs &amp; assumptions'!$M$22)</f>
        <v>787544.9515977226</v>
      </c>
      <c r="H20" s="40">
        <f>G20*(1+'Inputs &amp; assumptions'!$M$22)</f>
        <v>788904.43950584368</v>
      </c>
      <c r="I20" s="40">
        <f>H20*(1+'Inputs &amp; assumptions'!$M$22)</f>
        <v>790266.27421000297</v>
      </c>
      <c r="J20" s="119">
        <f t="shared" si="4"/>
        <v>6.3411349792302785E-2</v>
      </c>
      <c r="L20" s="41">
        <f t="shared" si="0"/>
        <v>1.7262353156642081E-3</v>
      </c>
      <c r="M20" s="41">
        <f t="shared" si="1"/>
        <v>1.72623531566423E-3</v>
      </c>
      <c r="N20" s="41">
        <f t="shared" si="2"/>
        <v>1.726235315664251E-3</v>
      </c>
      <c r="O20" s="41">
        <f t="shared" si="3"/>
        <v>1.7262353156642437E-3</v>
      </c>
    </row>
    <row r="21" spans="3:15" x14ac:dyDescent="0.25">
      <c r="C21" s="127" t="s">
        <v>113</v>
      </c>
      <c r="D21" s="128">
        <f t="shared" ref="D21:I21" si="5">SUM(D8:D20)</f>
        <v>3584860.0672410047</v>
      </c>
      <c r="E21" s="128">
        <f t="shared" si="5"/>
        <v>4438173</v>
      </c>
      <c r="F21" s="128">
        <f t="shared" si="5"/>
        <v>4582717.8723497996</v>
      </c>
      <c r="G21" s="128">
        <f t="shared" si="5"/>
        <v>4662828.7452401044</v>
      </c>
      <c r="H21" s="128">
        <f t="shared" si="5"/>
        <v>4732526.7525568036</v>
      </c>
      <c r="I21" s="128">
        <f t="shared" si="5"/>
        <v>4805463.6248383857</v>
      </c>
      <c r="J21" s="132">
        <f t="shared" si="4"/>
        <v>6.0358244001037953E-2</v>
      </c>
      <c r="L21" s="129">
        <f t="shared" si="0"/>
        <v>3.256855294955821E-2</v>
      </c>
      <c r="M21" s="129">
        <f t="shared" si="1"/>
        <v>1.748108330509723E-2</v>
      </c>
      <c r="N21" s="129">
        <f t="shared" si="2"/>
        <v>1.4947580347626572E-2</v>
      </c>
      <c r="O21" s="129">
        <f t="shared" si="3"/>
        <v>1.5411824611910981E-2</v>
      </c>
    </row>
    <row r="24" spans="3:15" ht="15.75" x14ac:dyDescent="0.25">
      <c r="C24" s="1" t="s">
        <v>287</v>
      </c>
    </row>
    <row r="25" spans="3:15" ht="7.5" customHeight="1" x14ac:dyDescent="0.25"/>
    <row r="26" spans="3:15" x14ac:dyDescent="0.25">
      <c r="C26" s="112" t="s">
        <v>99</v>
      </c>
      <c r="D26" s="124">
        <v>2023</v>
      </c>
      <c r="E26" s="124">
        <v>2024</v>
      </c>
      <c r="F26" s="124">
        <v>2025</v>
      </c>
      <c r="G26" s="124">
        <v>2026</v>
      </c>
      <c r="H26" s="124">
        <v>2027</v>
      </c>
      <c r="I26" s="124">
        <v>2028</v>
      </c>
      <c r="J26" s="124" t="s">
        <v>166</v>
      </c>
    </row>
    <row r="27" spans="3:15" x14ac:dyDescent="0.25">
      <c r="C27" s="117" t="s">
        <v>10</v>
      </c>
      <c r="D27" s="118">
        <f>'Inputs &amp; assumptions'!L141</f>
        <v>185.72935460272799</v>
      </c>
      <c r="E27" s="118">
        <f>D27*(1+$J27)</f>
        <v>185.72935460272799</v>
      </c>
      <c r="F27" s="118">
        <f t="shared" ref="F27:I27" si="6">E27*(1+$J27)</f>
        <v>185.72935460272799</v>
      </c>
      <c r="G27" s="118">
        <f t="shared" si="6"/>
        <v>185.72935460272799</v>
      </c>
      <c r="H27" s="118">
        <f t="shared" si="6"/>
        <v>185.72935460272799</v>
      </c>
      <c r="I27" s="134">
        <f t="shared" si="6"/>
        <v>185.72935460272799</v>
      </c>
      <c r="J27" s="119">
        <v>0</v>
      </c>
    </row>
    <row r="28" spans="3:15" x14ac:dyDescent="0.25">
      <c r="C28" s="117" t="s">
        <v>170</v>
      </c>
      <c r="D28" s="118">
        <f>'Inputs &amp; assumptions'!L142</f>
        <v>307.3381853579433</v>
      </c>
      <c r="E28" s="118">
        <f t="shared" ref="E28:H29" si="7">D28*(1+$J28)</f>
        <v>333.15381015777882</v>
      </c>
      <c r="F28" s="118">
        <f t="shared" si="7"/>
        <v>361.13788169009473</v>
      </c>
      <c r="G28" s="118">
        <f t="shared" si="7"/>
        <v>391.47254395752753</v>
      </c>
      <c r="H28" s="118">
        <f t="shared" si="7"/>
        <v>424.35524059502643</v>
      </c>
      <c r="I28" s="135">
        <v>460</v>
      </c>
      <c r="J28" s="119">
        <f>(I28/D28)^(1/($I$26-$D$26))-1</f>
        <v>8.3997453065486116E-2</v>
      </c>
    </row>
    <row r="29" spans="3:15" x14ac:dyDescent="0.25">
      <c r="C29" s="117" t="s">
        <v>11</v>
      </c>
      <c r="D29" s="118">
        <f>'Inputs &amp; assumptions'!L143</f>
        <v>167.45240070531943</v>
      </c>
      <c r="E29" s="118">
        <f t="shared" si="7"/>
        <v>183.38787279351504</v>
      </c>
      <c r="F29" s="118">
        <f t="shared" si="7"/>
        <v>200.83983117634756</v>
      </c>
      <c r="G29" s="118">
        <f t="shared" si="7"/>
        <v>219.9525910437965</v>
      </c>
      <c r="H29" s="118">
        <f t="shared" si="7"/>
        <v>240.88420122401041</v>
      </c>
      <c r="I29" s="135">
        <f>'Inputs &amp; assumptions'!I143</f>
        <v>263.80775113386005</v>
      </c>
      <c r="J29" s="119">
        <f>(I29/D29)^(1/($I$26-$D$26))-1</f>
        <v>9.5164190068786514E-2</v>
      </c>
    </row>
    <row r="30" spans="3:15" x14ac:dyDescent="0.25">
      <c r="C30" s="117" t="s">
        <v>4</v>
      </c>
      <c r="D30" s="118">
        <f>'Inputs &amp; assumptions'!L144</f>
        <v>179.93323683662453</v>
      </c>
      <c r="E30" s="118">
        <f t="shared" ref="E30:H30" si="8">D30*(1+$J30)</f>
        <v>205.22617922052399</v>
      </c>
      <c r="F30" s="118">
        <f t="shared" si="8"/>
        <v>234.07451217974068</v>
      </c>
      <c r="G30" s="118">
        <f t="shared" si="8"/>
        <v>266.9780115786715</v>
      </c>
      <c r="H30" s="118">
        <f t="shared" si="8"/>
        <v>304.50670601747964</v>
      </c>
      <c r="I30" s="135">
        <f>'Inputs &amp; assumptions'!I144</f>
        <v>347.3107521526818</v>
      </c>
      <c r="J30" s="119">
        <f t="shared" ref="J30:J34" si="9">(I30/D30)^(1/($I$26-$D$26))-1</f>
        <v>0.14056848433658153</v>
      </c>
    </row>
    <row r="31" spans="3:15" x14ac:dyDescent="0.25">
      <c r="C31" s="117" t="s">
        <v>12</v>
      </c>
      <c r="D31" s="118">
        <f>'Inputs &amp; assumptions'!L145</f>
        <v>229.74532053257479</v>
      </c>
      <c r="E31" s="118">
        <f t="shared" ref="E31:H31" si="10">D31*(1+$J31)</f>
        <v>258.58086023678641</v>
      </c>
      <c r="F31" s="118">
        <f t="shared" si="10"/>
        <v>291.03557419928399</v>
      </c>
      <c r="G31" s="118">
        <f t="shared" si="10"/>
        <v>327.56370820309093</v>
      </c>
      <c r="H31" s="118">
        <f t="shared" si="10"/>
        <v>368.67652082383705</v>
      </c>
      <c r="I31" s="135">
        <f>'Inputs &amp; assumptions'!I145</f>
        <v>414.9494391561127</v>
      </c>
      <c r="J31" s="119">
        <f t="shared" si="9"/>
        <v>0.12551089022125739</v>
      </c>
    </row>
    <row r="32" spans="3:15" x14ac:dyDescent="0.25">
      <c r="C32" s="117" t="s">
        <v>101</v>
      </c>
      <c r="D32" s="118">
        <f>'Inputs &amp; assumptions'!L146</f>
        <v>151.97559127286905</v>
      </c>
      <c r="E32" s="118">
        <f t="shared" ref="E32:H32" si="11">D32*(1+$J32)</f>
        <v>157.82612732230936</v>
      </c>
      <c r="F32" s="118">
        <f t="shared" si="11"/>
        <v>163.90188882920057</v>
      </c>
      <c r="G32" s="118">
        <f t="shared" si="11"/>
        <v>170.21154619677671</v>
      </c>
      <c r="H32" s="118">
        <f t="shared" si="11"/>
        <v>176.7641036088892</v>
      </c>
      <c r="I32" s="135">
        <f>'Inputs &amp; assumptions'!I146</f>
        <v>183.5689118794094</v>
      </c>
      <c r="J32" s="119">
        <f t="shared" si="9"/>
        <v>3.8496550666059282E-2</v>
      </c>
    </row>
    <row r="33" spans="3:10" x14ac:dyDescent="0.25">
      <c r="C33" s="117" t="s">
        <v>7</v>
      </c>
      <c r="D33" s="118">
        <f>'Inputs &amp; assumptions'!M147</f>
        <v>150.20477555318689</v>
      </c>
      <c r="E33" s="118">
        <f t="shared" ref="E33:I33" si="12">D33*(1+$J33)</f>
        <v>150.20477555318689</v>
      </c>
      <c r="F33" s="118">
        <f t="shared" si="12"/>
        <v>150.20477555318689</v>
      </c>
      <c r="G33" s="118">
        <f t="shared" si="12"/>
        <v>150.20477555318689</v>
      </c>
      <c r="H33" s="118">
        <f t="shared" si="12"/>
        <v>150.20477555318689</v>
      </c>
      <c r="I33" s="134">
        <f t="shared" si="12"/>
        <v>150.20477555318689</v>
      </c>
      <c r="J33" s="119">
        <v>0</v>
      </c>
    </row>
    <row r="34" spans="3:10" x14ac:dyDescent="0.25">
      <c r="C34" s="117" t="s">
        <v>9</v>
      </c>
      <c r="D34" s="118">
        <f>'Inputs &amp; assumptions'!L148</f>
        <v>173.24654388661014</v>
      </c>
      <c r="E34" s="118">
        <f t="shared" ref="E34:H34" si="13">D34*(1+$J34)</f>
        <v>178.42358481293076</v>
      </c>
      <c r="F34" s="118">
        <f t="shared" si="13"/>
        <v>183.75532869696428</v>
      </c>
      <c r="G34" s="118">
        <f t="shared" si="13"/>
        <v>189.24639845080776</v>
      </c>
      <c r="H34" s="118">
        <f t="shared" si="13"/>
        <v>194.90155513075771</v>
      </c>
      <c r="I34" s="135">
        <f>'Inputs &amp; assumptions'!I148</f>
        <v>200.72570206540513</v>
      </c>
      <c r="J34" s="119">
        <f t="shared" si="9"/>
        <v>2.9882506225976879E-2</v>
      </c>
    </row>
    <row r="35" spans="3:10" x14ac:dyDescent="0.25">
      <c r="C35" s="120" t="s">
        <v>8</v>
      </c>
      <c r="D35" s="121">
        <f>'Inputs &amp; assumptions'!M149</f>
        <v>120.78867176059791</v>
      </c>
      <c r="E35" s="121">
        <f t="shared" ref="E35:I35" si="14">D35*(1+$J35)</f>
        <v>120.78867176059791</v>
      </c>
      <c r="F35" s="121">
        <f t="shared" si="14"/>
        <v>120.78867176059791</v>
      </c>
      <c r="G35" s="121">
        <f t="shared" si="14"/>
        <v>120.78867176059791</v>
      </c>
      <c r="H35" s="121">
        <f t="shared" si="14"/>
        <v>120.78867176059791</v>
      </c>
      <c r="I35" s="136">
        <f t="shared" si="14"/>
        <v>120.78867176059791</v>
      </c>
      <c r="J35" s="122">
        <v>0</v>
      </c>
    </row>
    <row r="38" spans="3:10" ht="15.75" x14ac:dyDescent="0.25">
      <c r="C38" s="1" t="s">
        <v>286</v>
      </c>
    </row>
    <row r="39" spans="3:10" ht="6.75" customHeight="1" x14ac:dyDescent="0.25"/>
    <row r="40" spans="3:10" x14ac:dyDescent="0.25">
      <c r="C40" s="112" t="s">
        <v>99</v>
      </c>
      <c r="D40" s="124">
        <v>2023</v>
      </c>
      <c r="E40" s="124">
        <v>2024</v>
      </c>
      <c r="F40" s="124">
        <v>2025</v>
      </c>
      <c r="G40" s="124">
        <v>2026</v>
      </c>
      <c r="H40" s="124">
        <v>2027</v>
      </c>
      <c r="I40" s="124">
        <v>2028</v>
      </c>
      <c r="J40" s="124" t="s">
        <v>166</v>
      </c>
    </row>
    <row r="41" spans="3:10" x14ac:dyDescent="0.25">
      <c r="C41" s="117" t="s">
        <v>10</v>
      </c>
      <c r="D41" s="123">
        <f>VLOOKUP(Proyecciones!$C41,'Tabla dinámica presupuestos'!$C$23:$G$35,2,FALSE)</f>
        <v>603119.68235294113</v>
      </c>
      <c r="E41" s="123">
        <f>VLOOKUP(Proyecciones!$C41,'Tabla dinámica presupuestos'!$C$23:$G$35,3,FALSE)</f>
        <v>702352.9411764706</v>
      </c>
      <c r="F41" s="123">
        <f>VLOOKUP(Proyecciones!$C41,'Tabla dinámica presupuestos'!$C$23:$G$35,4,FALSE)</f>
        <v>976252.9411764706</v>
      </c>
      <c r="G41" s="123">
        <f>VLOOKUP(Proyecciones!$C41,'Tabla dinámica presupuestos'!$C$23:$G$35,5,FALSE)</f>
        <v>1074724.8382352942</v>
      </c>
      <c r="H41" s="123">
        <f>G41*(1+'Tabla dinámica presupuestos'!$N24)</f>
        <v>1329438.4228671577</v>
      </c>
      <c r="I41" s="137">
        <f>H41*(1+'Tabla dinámica presupuestos'!$N24)</f>
        <v>1644520.0271891078</v>
      </c>
      <c r="J41" s="119">
        <f>(I41/D41)^(1/($I$40-$D$40))-1</f>
        <v>0.22215737559331616</v>
      </c>
    </row>
    <row r="42" spans="3:10" x14ac:dyDescent="0.25">
      <c r="C42" s="117" t="s">
        <v>170</v>
      </c>
      <c r="D42" s="123">
        <f>VLOOKUP(Proyecciones!$C42,'Tabla dinámica presupuestos'!$C$23:$G$35,2,FALSE)</f>
        <v>397245.47411764704</v>
      </c>
      <c r="E42" s="123">
        <f>VLOOKUP(Proyecciones!$C42,'Tabla dinámica presupuestos'!$C$23:$G$35,3,FALSE)</f>
        <v>401176.4705882353</v>
      </c>
      <c r="F42" s="123">
        <f>VLOOKUP(Proyecciones!$C42,'Tabla dinámica presupuestos'!$C$23:$G$35,4,FALSE)</f>
        <v>422670.5882352941</v>
      </c>
      <c r="G42" s="123">
        <f>VLOOKUP(Proyecciones!$C42,'Tabla dinámica presupuestos'!$C$23:$G$35,5,FALSE)</f>
        <v>454324.74117647059</v>
      </c>
      <c r="H42" s="123">
        <f>G42*(1+'Tabla dinámica presupuestos'!$O25)</f>
        <v>475118.78079211642</v>
      </c>
      <c r="I42" s="137">
        <f>H42*(1+'Tabla dinámica presupuestos'!$O25)</f>
        <v>496864.54511995247</v>
      </c>
      <c r="J42" s="119">
        <f t="shared" ref="J42:J49" si="15">(I42/D42)^(1/($I$40-$D$40))-1</f>
        <v>4.5769111234840176E-2</v>
      </c>
    </row>
    <row r="43" spans="3:10" x14ac:dyDescent="0.25">
      <c r="C43" s="117" t="s">
        <v>11</v>
      </c>
      <c r="D43" s="123">
        <f>VLOOKUP(Proyecciones!$C43,'Tabla dinámica presupuestos'!$C$23:$G$35,2,FALSE)</f>
        <v>84584.784705882354</v>
      </c>
      <c r="E43" s="123">
        <f>VLOOKUP(Proyecciones!$C43,'Tabla dinámica presupuestos'!$C$23:$G$35,3,FALSE)</f>
        <v>326470.5882352941</v>
      </c>
      <c r="F43" s="123">
        <f>VLOOKUP(Proyecciones!$C43,'Tabla dinámica presupuestos'!$C$23:$G$35,4,FALSE)</f>
        <v>367323.5294117647</v>
      </c>
      <c r="G43" s="123">
        <f>VLOOKUP(Proyecciones!$C43,'Tabla dinámica presupuestos'!$C$23:$G$35,5,FALSE)</f>
        <v>430275.9411764706</v>
      </c>
      <c r="H43" s="123">
        <f>G43*(1+'Tabla dinámica presupuestos'!$N26)</f>
        <v>493967.71384534577</v>
      </c>
      <c r="I43" s="137">
        <f>H43*(1+'Tabla dinámica presupuestos'!$N26)</f>
        <v>567087.48728649726</v>
      </c>
      <c r="J43" s="119">
        <f t="shared" si="15"/>
        <v>0.46309175626098353</v>
      </c>
    </row>
    <row r="44" spans="3:10" x14ac:dyDescent="0.25">
      <c r="C44" s="117" t="s">
        <v>4</v>
      </c>
      <c r="D44" s="123">
        <f>VLOOKUP(Proyecciones!$C44,'Tabla dinámica presupuestos'!$C$23:$G$35,2,FALSE)</f>
        <v>1179004.3611764705</v>
      </c>
      <c r="E44" s="123">
        <f>VLOOKUP(Proyecciones!$C44,'Tabla dinámica presupuestos'!$C$23:$G$35,3,FALSE)</f>
        <v>1224705.8823529412</v>
      </c>
      <c r="F44" s="123">
        <f>VLOOKUP(Proyecciones!$C44,'Tabla dinámica presupuestos'!$C$23:$G$35,4,FALSE)</f>
        <v>1333817.6470588236</v>
      </c>
      <c r="G44" s="123">
        <f>VLOOKUP(Proyecciones!$C44,'Tabla dinámica presupuestos'!$C$23:$G$35,5,FALSE)</f>
        <v>1482039.6676470588</v>
      </c>
      <c r="H44" s="123">
        <f>G44*(1+'Tabla dinámica presupuestos'!$N27)</f>
        <v>1630323.6928086691</v>
      </c>
      <c r="I44" s="137">
        <f>H44*(1+'Tabla dinámica presupuestos'!$N27)</f>
        <v>1793444.1306508104</v>
      </c>
      <c r="J44" s="119">
        <f t="shared" si="15"/>
        <v>8.7513077481222501E-2</v>
      </c>
    </row>
    <row r="45" spans="3:10" x14ac:dyDescent="0.25">
      <c r="C45" s="117" t="s">
        <v>12</v>
      </c>
      <c r="D45" s="123">
        <f>VLOOKUP(Proyecciones!$C45,'Tabla dinámica presupuestos'!$C$23:$G$35,2,FALSE)</f>
        <v>215833.70941176469</v>
      </c>
      <c r="E45" s="123">
        <f>VLOOKUP(Proyecciones!$C45,'Tabla dinámica presupuestos'!$C$23:$G$35,3,FALSE)</f>
        <v>198823.5294117647</v>
      </c>
      <c r="F45" s="123">
        <f>VLOOKUP(Proyecciones!$C45,'Tabla dinámica presupuestos'!$C$23:$G$35,4,FALSE)</f>
        <v>226141.17647058822</v>
      </c>
      <c r="G45" s="123">
        <f>VLOOKUP(Proyecciones!$C45,'Tabla dinámica presupuestos'!$C$23:$G$35,5,FALSE)</f>
        <v>265840.67647058825</v>
      </c>
      <c r="H45" s="123">
        <f>G45*(1+'Tabla dinámica presupuestos'!$N28)</f>
        <v>307396.03448240442</v>
      </c>
      <c r="I45" s="137">
        <f>H45*(1+'Tabla dinámica presupuestos'!$N28)</f>
        <v>355447.19216798217</v>
      </c>
      <c r="J45" s="119">
        <f t="shared" si="15"/>
        <v>0.10492083417629638</v>
      </c>
    </row>
    <row r="46" spans="3:10" x14ac:dyDescent="0.25">
      <c r="C46" s="117" t="s">
        <v>101</v>
      </c>
      <c r="D46" s="123">
        <f>VLOOKUP(Proyecciones!$C46,'Tabla dinámica presupuestos'!$C$23:$G$35,2,FALSE)</f>
        <v>1177943.4423529413</v>
      </c>
      <c r="E46" s="123">
        <f>VLOOKUP(Proyecciones!$C46,'Tabla dinámica presupuestos'!$C$23:$G$35,3,FALSE)</f>
        <v>1342352.9411764706</v>
      </c>
      <c r="F46" s="123">
        <f>VLOOKUP(Proyecciones!$C46,'Tabla dinámica presupuestos'!$C$23:$G$35,4,FALSE)</f>
        <v>1469976.4705882352</v>
      </c>
      <c r="G46" s="123">
        <f>VLOOKUP(Proyecciones!$C46,'Tabla dinámica presupuestos'!$C$23:$G$35,5,FALSE)</f>
        <v>1902855.8482352942</v>
      </c>
      <c r="H46" s="123">
        <f>G46*(1+'Tabla dinámica presupuestos'!$N29)</f>
        <v>2265559.511470045</v>
      </c>
      <c r="I46" s="137">
        <f>H46*(1+'Tabla dinámica presupuestos'!$N29)</f>
        <v>2697398.1790436218</v>
      </c>
      <c r="J46" s="119">
        <f t="shared" si="15"/>
        <v>0.1802231369444216</v>
      </c>
    </row>
    <row r="47" spans="3:10" x14ac:dyDescent="0.25">
      <c r="C47" s="117" t="s">
        <v>7</v>
      </c>
      <c r="D47" s="123">
        <f>VLOOKUP(Proyecciones!$C47,'Tabla dinámica presupuestos'!$C$23:$G$35,2,FALSE)</f>
        <v>635605.32941176475</v>
      </c>
      <c r="E47" s="123">
        <f>VLOOKUP(Proyecciones!$C47,'Tabla dinámica presupuestos'!$C$23:$G$35,3,FALSE)</f>
        <v>735294.1176470588</v>
      </c>
      <c r="F47" s="123">
        <f>VLOOKUP(Proyecciones!$C47,'Tabla dinámica presupuestos'!$C$23:$G$35,4,FALSE)</f>
        <v>807682.3529411765</v>
      </c>
      <c r="G47" s="123">
        <f>VLOOKUP(Proyecciones!$C47,'Tabla dinámica presupuestos'!$C$23:$G$35,5,FALSE)</f>
        <v>909476.48235294118</v>
      </c>
      <c r="H47" s="123">
        <f>G47*(1+'Tabla dinámica presupuestos'!$O30)</f>
        <v>1024847.9918810936</v>
      </c>
      <c r="I47" s="137">
        <f>H47*(1+'Tabla dinámica presupuestos'!$O30)</f>
        <v>1154854.9378048836</v>
      </c>
      <c r="J47" s="119">
        <f t="shared" si="15"/>
        <v>0.1268548574556545</v>
      </c>
    </row>
    <row r="48" spans="3:10" x14ac:dyDescent="0.25">
      <c r="C48" s="117" t="s">
        <v>9</v>
      </c>
      <c r="D48" s="123">
        <f>VLOOKUP(Proyecciones!$C48,'Tabla dinámica presupuestos'!$C$23:$G$35,2,FALSE)</f>
        <v>339854.18352941179</v>
      </c>
      <c r="E48" s="123">
        <f>VLOOKUP(Proyecciones!$C48,'Tabla dinámica presupuestos'!$C$23:$G$35,3,FALSE)</f>
        <v>536470.5882352941</v>
      </c>
      <c r="F48" s="123">
        <f>VLOOKUP(Proyecciones!$C48,'Tabla dinámica presupuestos'!$C$23:$G$35,4,FALSE)</f>
        <v>596594.1176470588</v>
      </c>
      <c r="G48" s="123">
        <f>VLOOKUP(Proyecciones!$C48,'Tabla dinámica presupuestos'!$C$23:$G$35,5,FALSE)</f>
        <v>783204.66529411764</v>
      </c>
      <c r="H48" s="123">
        <f>G48*(1+'Tabla dinámica presupuestos'!$O31)</f>
        <v>1034513.4645967002</v>
      </c>
      <c r="I48" s="137">
        <f>H48*(1+'Tabla dinámica presupuestos'!$O31)</f>
        <v>1366460.3338770561</v>
      </c>
      <c r="J48" s="119">
        <f t="shared" si="15"/>
        <v>0.32087244935933601</v>
      </c>
    </row>
    <row r="49" spans="3:12" x14ac:dyDescent="0.25">
      <c r="C49" s="117" t="s">
        <v>8</v>
      </c>
      <c r="D49" s="123">
        <f>VLOOKUP(Proyecciones!$C49,'Tabla dinámica presupuestos'!$C$23:$G$35,2,FALSE)</f>
        <v>559959.66117647057</v>
      </c>
      <c r="E49" s="123">
        <f>VLOOKUP(Proyecciones!$C49,'Tabla dinámica presupuestos'!$C$23:$G$35,3,FALSE)</f>
        <v>655294.1176470588</v>
      </c>
      <c r="F49" s="123">
        <f>VLOOKUP(Proyecciones!$C49,'Tabla dinámica presupuestos'!$C$23:$G$35,4,FALSE)</f>
        <v>724541.17647058819</v>
      </c>
      <c r="G49" s="123">
        <f>VLOOKUP(Proyecciones!$C49,'Tabla dinámica presupuestos'!$C$23:$G$35,5,FALSE)</f>
        <v>822855.26470588241</v>
      </c>
      <c r="H49" s="123">
        <f>G49*(1+'Tabla dinámica presupuestos'!$O34)</f>
        <v>935504.08626122365</v>
      </c>
      <c r="I49" s="137">
        <f>H49*(1+'Tabla dinámica presupuestos'!$O34)</f>
        <v>1063574.5227008578</v>
      </c>
      <c r="J49" s="119">
        <f t="shared" si="15"/>
        <v>0.13689992199977707</v>
      </c>
    </row>
    <row r="50" spans="3:12" x14ac:dyDescent="0.25">
      <c r="C50" s="127" t="s">
        <v>288</v>
      </c>
      <c r="D50" s="130">
        <f>SUM(D41:D49)</f>
        <v>5193150.6282352936</v>
      </c>
      <c r="E50" s="130">
        <f t="shared" ref="E50:H50" si="16">SUM(E41:E49)</f>
        <v>6122941.1764705889</v>
      </c>
      <c r="F50" s="130">
        <f t="shared" si="16"/>
        <v>6925000.0000000009</v>
      </c>
      <c r="G50" s="130">
        <f>SUM(G41:G49)</f>
        <v>8125598.1252941182</v>
      </c>
      <c r="H50" s="130">
        <f t="shared" si="16"/>
        <v>9496669.6990047563</v>
      </c>
      <c r="I50" s="138">
        <f>SUM(I41:I49)</f>
        <v>11139651.355840771</v>
      </c>
      <c r="J50" s="129">
        <f>(I50/D50)^(1/($I$40-$D$40))-1</f>
        <v>0.16489863353392709</v>
      </c>
    </row>
    <row r="53" spans="3:12" ht="15.75" x14ac:dyDescent="0.25">
      <c r="C53" s="1" t="s">
        <v>289</v>
      </c>
    </row>
    <row r="54" spans="3:12" ht="15.75" hidden="1" x14ac:dyDescent="0.25">
      <c r="C54" s="1"/>
    </row>
    <row r="55" spans="3:12" ht="15" hidden="1" customHeight="1" x14ac:dyDescent="0.25">
      <c r="C55" s="267" t="s">
        <v>356</v>
      </c>
      <c r="D55" s="267"/>
      <c r="E55" s="238" t="s">
        <v>357</v>
      </c>
      <c r="F55" s="238">
        <v>0.7</v>
      </c>
      <c r="G55" s="238">
        <v>0.7</v>
      </c>
      <c r="H55" s="238">
        <v>0.7</v>
      </c>
      <c r="I55" s="238">
        <v>0.65</v>
      </c>
      <c r="J55" s="238">
        <v>0.55000000000000004</v>
      </c>
      <c r="K55" s="238">
        <v>0.5</v>
      </c>
      <c r="L55" s="238"/>
    </row>
    <row r="56" spans="3:12" hidden="1" x14ac:dyDescent="0.25">
      <c r="C56" s="267"/>
      <c r="D56" s="267"/>
      <c r="E56" s="238" t="s">
        <v>358</v>
      </c>
      <c r="F56" s="238"/>
      <c r="G56" s="238">
        <v>0.7</v>
      </c>
      <c r="H56" s="238">
        <v>0.75</v>
      </c>
      <c r="I56" s="238">
        <v>0.68</v>
      </c>
      <c r="J56" s="238">
        <v>0.6</v>
      </c>
      <c r="K56" s="238">
        <v>0.6</v>
      </c>
      <c r="L56" s="238"/>
    </row>
    <row r="57" spans="3:12" hidden="1" x14ac:dyDescent="0.25">
      <c r="C57" s="267"/>
      <c r="D57" s="267"/>
      <c r="E57" s="238" t="s">
        <v>359</v>
      </c>
      <c r="F57" s="238"/>
      <c r="G57" s="238"/>
      <c r="H57" s="238">
        <v>0.85</v>
      </c>
      <c r="I57" s="238">
        <v>0.9</v>
      </c>
      <c r="J57" s="238">
        <v>0.9</v>
      </c>
      <c r="K57" s="238">
        <v>0.8</v>
      </c>
      <c r="L57" s="238"/>
    </row>
    <row r="58" spans="3:12" hidden="1" x14ac:dyDescent="0.25">
      <c r="C58" s="267"/>
      <c r="D58" s="267"/>
      <c r="E58" s="238" t="s">
        <v>360</v>
      </c>
      <c r="F58" s="238"/>
      <c r="G58" s="238"/>
      <c r="H58" s="238"/>
      <c r="I58" s="238"/>
      <c r="J58" s="238">
        <v>0.85</v>
      </c>
      <c r="K58" s="238">
        <v>0.8</v>
      </c>
      <c r="L58" s="238"/>
    </row>
    <row r="59" spans="3:12" hidden="1" x14ac:dyDescent="0.25">
      <c r="C59" s="267"/>
      <c r="D59" s="267"/>
      <c r="E59" s="238" t="s">
        <v>361</v>
      </c>
      <c r="F59" s="238"/>
      <c r="G59" s="238"/>
      <c r="H59" s="238"/>
      <c r="I59" s="238">
        <v>0.8</v>
      </c>
      <c r="J59" s="238">
        <v>0.65</v>
      </c>
      <c r="K59" s="238">
        <v>0.55000000000000004</v>
      </c>
      <c r="L59" s="238"/>
    </row>
    <row r="60" spans="3:12" ht="15.75" hidden="1" x14ac:dyDescent="0.25">
      <c r="C60" s="1"/>
    </row>
    <row r="61" spans="3:12" ht="6.75" customHeight="1" x14ac:dyDescent="0.25"/>
    <row r="62" spans="3:12" x14ac:dyDescent="0.25">
      <c r="C62" s="242" t="s">
        <v>99</v>
      </c>
      <c r="D62" s="243">
        <v>2023</v>
      </c>
      <c r="E62" s="243">
        <v>2024</v>
      </c>
      <c r="F62" s="243">
        <v>2025</v>
      </c>
      <c r="G62" s="243">
        <v>2026</v>
      </c>
      <c r="H62" s="243">
        <v>2027</v>
      </c>
      <c r="I62" s="243">
        <v>2028</v>
      </c>
      <c r="J62" s="244" t="s">
        <v>166</v>
      </c>
    </row>
    <row r="63" spans="3:12" x14ac:dyDescent="0.25">
      <c r="C63" s="117" t="s">
        <v>10</v>
      </c>
      <c r="D63" s="239">
        <f t="shared" ref="D63:I63" si="17">D27*(D41*F55)</f>
        <v>78411920.546129853</v>
      </c>
      <c r="E63" s="239">
        <f t="shared" si="17"/>
        <v>91313290.927623555</v>
      </c>
      <c r="F63" s="241">
        <f t="shared" si="17"/>
        <v>126923180.08560459</v>
      </c>
      <c r="G63" s="239">
        <f t="shared" si="17"/>
        <v>129745167.8776256</v>
      </c>
      <c r="H63" s="239">
        <f t="shared" si="17"/>
        <v>135803657.1447522</v>
      </c>
      <c r="I63" s="240">
        <f t="shared" si="17"/>
        <v>152717821.64054686</v>
      </c>
      <c r="J63" s="119">
        <f t="shared" ref="J63:J71" si="18">(I63/D63)^(1/($I$40-$D$40))-1</f>
        <v>0.14261922222364265</v>
      </c>
    </row>
    <row r="64" spans="3:12" x14ac:dyDescent="0.25">
      <c r="C64" s="117" t="s">
        <v>170</v>
      </c>
      <c r="D64" s="126">
        <f t="shared" ref="D64:I64" si="19">D28*D42</f>
        <v>122088703.15697348</v>
      </c>
      <c r="E64" s="126">
        <f t="shared" si="19"/>
        <v>133653469.72212069</v>
      </c>
      <c r="F64" s="126">
        <f t="shared" si="19"/>
        <v>152642360.8880004</v>
      </c>
      <c r="G64" s="126">
        <f t="shared" si="19"/>
        <v>177855662.21119821</v>
      </c>
      <c r="H64" s="126">
        <f t="shared" si="19"/>
        <v>201619144.53425419</v>
      </c>
      <c r="I64" s="139">
        <f t="shared" si="19"/>
        <v>228557690.75517812</v>
      </c>
      <c r="J64" s="119">
        <f t="shared" si="18"/>
        <v>0.1336110530731236</v>
      </c>
    </row>
    <row r="65" spans="3:10" x14ac:dyDescent="0.25">
      <c r="C65" s="117" t="s">
        <v>11</v>
      </c>
      <c r="D65" s="126">
        <f t="shared" ref="D65:D71" si="20">D29*D43</f>
        <v>14163925.262142587</v>
      </c>
      <c r="E65" s="239">
        <f>E29*(E43*G56)</f>
        <v>41909522.694282696</v>
      </c>
      <c r="F65" s="239">
        <f>F29*(F43*H56)</f>
        <v>55329896.725619212</v>
      </c>
      <c r="G65" s="239">
        <f>G29*(G43*I56)</f>
        <v>64355409.52538956</v>
      </c>
      <c r="H65" s="239">
        <f>H29*(H43*J56)</f>
        <v>71393410.908051997</v>
      </c>
      <c r="I65" s="245">
        <f>I29*(I43*K56)</f>
        <v>89761244.830321372</v>
      </c>
      <c r="J65" s="119">
        <f t="shared" si="18"/>
        <v>0.44670854979445251</v>
      </c>
    </row>
    <row r="66" spans="3:10" x14ac:dyDescent="0.25">
      <c r="C66" s="117" t="s">
        <v>4</v>
      </c>
      <c r="D66" s="126">
        <f t="shared" si="20"/>
        <v>212142070.95097908</v>
      </c>
      <c r="E66" s="126">
        <f>E30*E44</f>
        <v>251341708.90419468</v>
      </c>
      <c r="F66" s="126">
        <f>F30*F44</f>
        <v>312212715.07202369</v>
      </c>
      <c r="G66" s="126">
        <f>G30*G44</f>
        <v>395672003.54912692</v>
      </c>
      <c r="H66" s="246">
        <f>H30*H44</f>
        <v>496444497.43942118</v>
      </c>
      <c r="I66" s="139">
        <f>I30*I44</f>
        <v>622882429.96014547</v>
      </c>
      <c r="J66" s="119">
        <f t="shared" si="18"/>
        <v>0.2403831424789693</v>
      </c>
    </row>
    <row r="67" spans="3:10" x14ac:dyDescent="0.25">
      <c r="C67" s="117" t="s">
        <v>12</v>
      </c>
      <c r="D67" s="126">
        <f t="shared" si="20"/>
        <v>49586784.750540487</v>
      </c>
      <c r="E67" s="126">
        <f>E31*E45</f>
        <v>51411959.27060812</v>
      </c>
      <c r="F67" s="239">
        <f>F31*(F45*H57)</f>
        <v>55942858.072586358</v>
      </c>
      <c r="G67" s="239">
        <f>G31*(G45*I57)</f>
        <v>78371781.998331666</v>
      </c>
      <c r="H67" s="241">
        <f>H31*(H45*J57)</f>
        <v>101996730.4572154</v>
      </c>
      <c r="I67" s="240">
        <f>I31*(I45*K57)</f>
        <v>117994090.43177539</v>
      </c>
      <c r="J67" s="119">
        <f t="shared" si="18"/>
        <v>0.18932038159413866</v>
      </c>
    </row>
    <row r="68" spans="3:10" x14ac:dyDescent="0.25">
      <c r="C68" s="117" t="s">
        <v>101</v>
      </c>
      <c r="D68" s="126">
        <f t="shared" si="20"/>
        <v>179018651.13758698</v>
      </c>
      <c r="E68" s="126">
        <f>E32*E46</f>
        <v>211858366.20559409</v>
      </c>
      <c r="F68" s="126">
        <f>F32*F46</f>
        <v>240931920.06389356</v>
      </c>
      <c r="G68" s="246">
        <f>G32*G46</f>
        <v>323888036.1177085</v>
      </c>
      <c r="H68" s="239">
        <f>H32*(H46*J58)</f>
        <v>340399156.7849561</v>
      </c>
      <c r="I68" s="240">
        <f>I32*(I46*K58)</f>
        <v>396126758.90603036</v>
      </c>
      <c r="J68" s="119">
        <f t="shared" si="18"/>
        <v>0.17216076390345902</v>
      </c>
    </row>
    <row r="69" spans="3:10" x14ac:dyDescent="0.25">
      <c r="C69" s="117" t="s">
        <v>7</v>
      </c>
      <c r="D69" s="126">
        <f t="shared" si="20"/>
        <v>95470955.84470354</v>
      </c>
      <c r="E69" s="126">
        <f>E33*E47</f>
        <v>110444687.90675506</v>
      </c>
      <c r="F69" s="126">
        <f>F33*F47</f>
        <v>121317746.54179929</v>
      </c>
      <c r="G69" s="246">
        <f>G33*G47</f>
        <v>136607710.90272546</v>
      </c>
      <c r="H69" s="126">
        <f>H33*H47</f>
        <v>153937062.59663397</v>
      </c>
      <c r="I69" s="139">
        <f>I33*I47</f>
        <v>173464726.72947213</v>
      </c>
      <c r="J69" s="119">
        <f t="shared" si="18"/>
        <v>0.1268548574556545</v>
      </c>
    </row>
    <row r="70" spans="3:10" x14ac:dyDescent="0.25">
      <c r="C70" s="117" t="s">
        <v>9</v>
      </c>
      <c r="D70" s="126">
        <f t="shared" si="20"/>
        <v>58878562.721876301</v>
      </c>
      <c r="E70" s="126">
        <f>E34*E48</f>
        <v>95719005.499642849</v>
      </c>
      <c r="F70" s="246">
        <f>F34*F48</f>
        <v>109627348.18691067</v>
      </c>
      <c r="G70" s="239">
        <f>G34*(G48*I59)</f>
        <v>118574929.72542571</v>
      </c>
      <c r="H70" s="239">
        <f>H34*(H48*J59)</f>
        <v>131058383.98484319</v>
      </c>
      <c r="I70" s="240">
        <f>I34*(I48*K59)</f>
        <v>150856040.42410001</v>
      </c>
      <c r="J70" s="119">
        <f t="shared" si="18"/>
        <v>0.20703843945440847</v>
      </c>
    </row>
    <row r="71" spans="3:10" x14ac:dyDescent="0.25">
      <c r="C71" s="117" t="s">
        <v>8</v>
      </c>
      <c r="D71" s="126">
        <f t="shared" si="20"/>
        <v>67636783.713020325</v>
      </c>
      <c r="E71" s="126">
        <f>E35*E49</f>
        <v>79152106.08312121</v>
      </c>
      <c r="F71" s="246">
        <f>F35*F49</f>
        <v>87516366.34174332</v>
      </c>
      <c r="G71" s="126">
        <f>G35*G49</f>
        <v>99391594.475038737</v>
      </c>
      <c r="H71" s="126">
        <f>H35*H49</f>
        <v>112998296.00610502</v>
      </c>
      <c r="I71" s="139">
        <f>I35*I49</f>
        <v>128467753.9154485</v>
      </c>
      <c r="J71" s="119">
        <f t="shared" si="18"/>
        <v>0.13689992199977707</v>
      </c>
    </row>
    <row r="72" spans="3:10" x14ac:dyDescent="0.25">
      <c r="C72" s="125" t="s">
        <v>290</v>
      </c>
      <c r="D72" s="131">
        <f>SUM(D63:D71)</f>
        <v>877398358.08395267</v>
      </c>
      <c r="E72" s="131">
        <f t="shared" ref="E72:I72" si="21">SUM(E63:E71)</f>
        <v>1066804117.2139429</v>
      </c>
      <c r="F72" s="131">
        <f t="shared" si="21"/>
        <v>1262444391.9781809</v>
      </c>
      <c r="G72" s="131">
        <f t="shared" si="21"/>
        <v>1524462296.3825705</v>
      </c>
      <c r="H72" s="131">
        <f t="shared" si="21"/>
        <v>1745650339.8562331</v>
      </c>
      <c r="I72" s="140">
        <f t="shared" si="21"/>
        <v>2060828557.5930181</v>
      </c>
      <c r="J72" s="132">
        <f>(I72/D72)^(1/($I$40-$D$40))-1</f>
        <v>0.186230289728885</v>
      </c>
    </row>
    <row r="73" spans="3:10" x14ac:dyDescent="0.25">
      <c r="C73" s="117" t="s">
        <v>291</v>
      </c>
      <c r="D73" s="126">
        <f>D74-D72</f>
        <v>1608695609.0915239</v>
      </c>
      <c r="E73" s="126">
        <f t="shared" ref="E73:I73" si="22">E74-E72</f>
        <v>1467858899.122961</v>
      </c>
      <c r="F73" s="126">
        <f t="shared" si="22"/>
        <v>1321736532.4802666</v>
      </c>
      <c r="G73" s="126">
        <f t="shared" si="22"/>
        <v>1110203932.3399961</v>
      </c>
      <c r="H73" s="126">
        <f t="shared" si="22"/>
        <v>940487488.60323381</v>
      </c>
      <c r="I73" s="139">
        <f t="shared" si="22"/>
        <v>677786434.62910461</v>
      </c>
      <c r="J73" s="119">
        <f>(I73/D73)^(1/($I$40-$D$40))-1</f>
        <v>-0.15875247556848415</v>
      </c>
    </row>
    <row r="74" spans="3:10" x14ac:dyDescent="0.25">
      <c r="C74" s="127" t="s">
        <v>288</v>
      </c>
      <c r="D74" s="133">
        <f>'Inputs &amp; assumptions'!$H$155*(1+'Inputs &amp; assumptions'!$I$155)</f>
        <v>2486093967.1754766</v>
      </c>
      <c r="E74" s="133">
        <f>D74*(1+'Inputs &amp; assumptions'!$I$155)</f>
        <v>2534663016.336904</v>
      </c>
      <c r="F74" s="133">
        <f>E74*(1+'Inputs &amp; assumptions'!$I$155)</f>
        <v>2584180924.4584475</v>
      </c>
      <c r="G74" s="133">
        <f>F74*(1+'Inputs &amp; assumptions'!$I$155)</f>
        <v>2634666228.7225666</v>
      </c>
      <c r="H74" s="133">
        <f>G74*(1+'Inputs &amp; assumptions'!$I$155)</f>
        <v>2686137828.4594669</v>
      </c>
      <c r="I74" s="141">
        <f>H74*(1+'Inputs &amp; assumptions'!$I$155)</f>
        <v>2738614992.2221227</v>
      </c>
      <c r="J74" s="129">
        <f>(I74/D74)^(1/($I$40-$D$40))-1</f>
        <v>1.9536288572635119E-2</v>
      </c>
    </row>
  </sheetData>
  <mergeCells count="1">
    <mergeCell ref="C55:D59"/>
  </mergeCells>
  <pageMargins left="0.7" right="0.7" top="0.75" bottom="0.75" header="0.3" footer="0.3"/>
  <ignoredErrors>
    <ignoredError sqref="I34 E65:I70"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6F289-5EB1-415E-B8CD-8966E27B9B31}">
  <sheetPr>
    <tabColor theme="9" tint="0.79998168889431442"/>
  </sheetPr>
  <dimension ref="B2:P155"/>
  <sheetViews>
    <sheetView showGridLines="0" workbookViewId="0"/>
  </sheetViews>
  <sheetFormatPr baseColWidth="10" defaultRowHeight="15" x14ac:dyDescent="0.25"/>
  <cols>
    <col min="1" max="1" width="2.28515625" customWidth="1"/>
    <col min="2" max="2" width="3" customWidth="1"/>
    <col min="3" max="3" width="15.7109375" customWidth="1"/>
    <col min="4" max="6" width="15" bestFit="1" customWidth="1"/>
    <col min="7" max="9" width="14.85546875" bestFit="1" customWidth="1"/>
    <col min="10" max="10" width="15.85546875" bestFit="1" customWidth="1"/>
    <col min="11" max="11" width="13.5703125" bestFit="1" customWidth="1"/>
    <col min="12" max="12" width="13.85546875" customWidth="1"/>
    <col min="13" max="13" width="15.140625" customWidth="1"/>
    <col min="14" max="14" width="13.5703125" customWidth="1"/>
    <col min="15" max="15" width="12" customWidth="1"/>
    <col min="16" max="16" width="9.5703125" customWidth="1"/>
  </cols>
  <sheetData>
    <row r="2" spans="2:16" ht="18.75" x14ac:dyDescent="0.3">
      <c r="B2" s="14" t="s">
        <v>155</v>
      </c>
    </row>
    <row r="3" spans="2:16" x14ac:dyDescent="0.25">
      <c r="B3" t="s">
        <v>296</v>
      </c>
    </row>
    <row r="5" spans="2:16" ht="15.75" x14ac:dyDescent="0.25">
      <c r="C5" s="1" t="s">
        <v>115</v>
      </c>
    </row>
    <row r="6" spans="2:16" x14ac:dyDescent="0.25">
      <c r="C6" s="18" t="s">
        <v>114</v>
      </c>
      <c r="M6" s="26" t="s">
        <v>124</v>
      </c>
    </row>
    <row r="7" spans="2:16" ht="6.75" customHeight="1" x14ac:dyDescent="0.25"/>
    <row r="8" spans="2:16" x14ac:dyDescent="0.25">
      <c r="C8" s="17" t="s">
        <v>99</v>
      </c>
      <c r="D8" s="17" t="s">
        <v>105</v>
      </c>
      <c r="E8" s="17" t="s">
        <v>106</v>
      </c>
      <c r="F8" s="17" t="s">
        <v>107</v>
      </c>
      <c r="G8" s="17" t="s">
        <v>108</v>
      </c>
      <c r="H8" s="17" t="s">
        <v>109</v>
      </c>
      <c r="I8" s="17" t="s">
        <v>110</v>
      </c>
      <c r="J8" s="17" t="s">
        <v>111</v>
      </c>
      <c r="K8" s="17" t="s">
        <v>112</v>
      </c>
      <c r="M8" s="17" t="s">
        <v>116</v>
      </c>
      <c r="N8" s="17" t="s">
        <v>117</v>
      </c>
    </row>
    <row r="9" spans="2:16" x14ac:dyDescent="0.25">
      <c r="C9" s="5" t="s">
        <v>10</v>
      </c>
      <c r="D9" s="4">
        <v>71055</v>
      </c>
      <c r="E9" s="4">
        <v>73854</v>
      </c>
      <c r="F9" s="4">
        <v>78262</v>
      </c>
      <c r="G9" s="4">
        <v>80394</v>
      </c>
      <c r="H9" s="4">
        <v>82541</v>
      </c>
      <c r="I9" s="4">
        <v>24578</v>
      </c>
      <c r="J9" s="4">
        <v>4044</v>
      </c>
      <c r="K9" s="4">
        <v>32217</v>
      </c>
      <c r="M9" s="19">
        <f>(H9/D9)^(1/4)-1</f>
        <v>3.8170706795992437E-2</v>
      </c>
      <c r="N9" s="5"/>
    </row>
    <row r="10" spans="2:16" x14ac:dyDescent="0.25">
      <c r="C10" s="5" t="s">
        <v>31</v>
      </c>
      <c r="D10" s="4">
        <v>1946876</v>
      </c>
      <c r="E10" s="4">
        <v>2900709</v>
      </c>
      <c r="F10" s="4">
        <v>3323771</v>
      </c>
      <c r="G10" s="4">
        <v>2422235</v>
      </c>
      <c r="H10" s="4">
        <v>1435467</v>
      </c>
      <c r="I10" s="4">
        <v>414457</v>
      </c>
      <c r="J10" s="4">
        <v>20912</v>
      </c>
      <c r="K10" s="4">
        <v>652097</v>
      </c>
      <c r="M10" s="20">
        <f>(H10/D10)^(1/4)-1</f>
        <v>-7.3354266720667582E-2</v>
      </c>
      <c r="N10" s="19">
        <f>(H10/P10)^(1/11)-1</f>
        <v>4.7244999180064084E-2</v>
      </c>
      <c r="P10" s="21">
        <v>863897</v>
      </c>
    </row>
    <row r="11" spans="2:16" x14ac:dyDescent="0.25">
      <c r="C11" s="5" t="s">
        <v>11</v>
      </c>
      <c r="D11" s="4">
        <v>46010</v>
      </c>
      <c r="E11" s="4">
        <v>50968</v>
      </c>
      <c r="F11" s="4">
        <v>51978</v>
      </c>
      <c r="G11" s="4">
        <v>52653</v>
      </c>
      <c r="H11" s="4">
        <v>51640</v>
      </c>
      <c r="I11" s="4">
        <v>13750</v>
      </c>
      <c r="J11" s="4">
        <v>146</v>
      </c>
      <c r="K11" s="4">
        <v>8391</v>
      </c>
      <c r="M11" s="19">
        <f t="shared" ref="M11:M20" si="0">(H11/D11)^(1/4)-1</f>
        <v>2.9279919481706607E-2</v>
      </c>
      <c r="N11" s="5"/>
    </row>
    <row r="12" spans="2:16" x14ac:dyDescent="0.25">
      <c r="C12" s="5" t="s">
        <v>33</v>
      </c>
      <c r="D12" s="4">
        <v>419822</v>
      </c>
      <c r="E12" s="4">
        <v>437154</v>
      </c>
      <c r="F12" s="4">
        <v>479690</v>
      </c>
      <c r="G12" s="4">
        <v>541294</v>
      </c>
      <c r="H12" s="4">
        <v>467699</v>
      </c>
      <c r="I12" s="4">
        <v>133426</v>
      </c>
      <c r="J12" s="4">
        <v>3653</v>
      </c>
      <c r="K12" s="4">
        <v>145676</v>
      </c>
      <c r="M12" s="19">
        <f t="shared" si="0"/>
        <v>2.7366291169037327E-2</v>
      </c>
      <c r="N12" s="5"/>
    </row>
    <row r="13" spans="2:16" x14ac:dyDescent="0.25">
      <c r="C13" s="5" t="s">
        <v>100</v>
      </c>
      <c r="D13" s="4">
        <v>455965</v>
      </c>
      <c r="E13" s="4">
        <v>438915</v>
      </c>
      <c r="F13" s="4">
        <v>544857</v>
      </c>
      <c r="G13" s="4">
        <v>589172</v>
      </c>
      <c r="H13" s="4">
        <v>542094</v>
      </c>
      <c r="I13" s="4">
        <v>77872</v>
      </c>
      <c r="J13" s="4">
        <v>13665</v>
      </c>
      <c r="K13" s="4">
        <v>247190</v>
      </c>
      <c r="M13" s="19">
        <f t="shared" si="0"/>
        <v>4.4205011643793757E-2</v>
      </c>
      <c r="N13" s="5"/>
    </row>
    <row r="14" spans="2:16" x14ac:dyDescent="0.25">
      <c r="C14" s="5" t="s">
        <v>12</v>
      </c>
      <c r="D14" s="4">
        <v>105317</v>
      </c>
      <c r="E14" s="4">
        <v>119324</v>
      </c>
      <c r="F14" s="4">
        <v>133341</v>
      </c>
      <c r="G14" s="4">
        <v>132515</v>
      </c>
      <c r="H14" s="4">
        <v>131818</v>
      </c>
      <c r="I14" s="4">
        <v>32696</v>
      </c>
      <c r="J14" s="4">
        <v>35903</v>
      </c>
      <c r="K14" s="4">
        <v>124914</v>
      </c>
      <c r="M14" s="19">
        <f t="shared" si="0"/>
        <v>5.7715965121862167E-2</v>
      </c>
      <c r="N14" s="5"/>
    </row>
    <row r="15" spans="2:16" x14ac:dyDescent="0.25">
      <c r="C15" s="5" t="s">
        <v>101</v>
      </c>
      <c r="D15" s="4">
        <v>186613</v>
      </c>
      <c r="E15" s="4">
        <v>208623</v>
      </c>
      <c r="F15" s="4">
        <v>211718</v>
      </c>
      <c r="G15" s="4">
        <v>222355</v>
      </c>
      <c r="H15" s="4">
        <v>224741</v>
      </c>
      <c r="I15" s="4">
        <v>62045</v>
      </c>
      <c r="J15" s="4">
        <v>17612</v>
      </c>
      <c r="K15" s="4">
        <v>135421</v>
      </c>
      <c r="M15" s="19">
        <f t="shared" si="0"/>
        <v>4.7574946873638391E-2</v>
      </c>
      <c r="N15" s="5"/>
    </row>
    <row r="16" spans="2:16" x14ac:dyDescent="0.25">
      <c r="C16" s="5" t="s">
        <v>7</v>
      </c>
      <c r="D16" s="4">
        <v>73362</v>
      </c>
      <c r="E16" s="4">
        <v>77987</v>
      </c>
      <c r="F16" s="4">
        <v>80690</v>
      </c>
      <c r="G16" s="4">
        <v>81281</v>
      </c>
      <c r="H16" s="4">
        <v>86681</v>
      </c>
      <c r="I16" s="4">
        <v>18920</v>
      </c>
      <c r="J16" s="4">
        <v>7036</v>
      </c>
      <c r="K16" s="4">
        <v>41832</v>
      </c>
      <c r="M16" s="19">
        <f t="shared" si="0"/>
        <v>4.2589117786541397E-2</v>
      </c>
      <c r="N16" s="5"/>
    </row>
    <row r="17" spans="3:14" x14ac:dyDescent="0.25">
      <c r="C17" s="5" t="s">
        <v>9</v>
      </c>
      <c r="D17" s="4">
        <v>69995</v>
      </c>
      <c r="E17" s="4">
        <v>77129</v>
      </c>
      <c r="F17" s="4">
        <v>83758</v>
      </c>
      <c r="G17" s="4">
        <v>87197</v>
      </c>
      <c r="H17" s="4">
        <v>87085</v>
      </c>
      <c r="I17" s="4">
        <v>24090</v>
      </c>
      <c r="J17" s="4">
        <v>3987</v>
      </c>
      <c r="K17" s="4">
        <v>34076</v>
      </c>
      <c r="M17" s="19">
        <f t="shared" si="0"/>
        <v>5.6134147215723074E-2</v>
      </c>
      <c r="N17" s="5"/>
    </row>
    <row r="18" spans="3:14" x14ac:dyDescent="0.25">
      <c r="C18" s="5" t="s">
        <v>102</v>
      </c>
      <c r="D18" s="4">
        <v>359857</v>
      </c>
      <c r="E18" s="4">
        <v>403605</v>
      </c>
      <c r="F18" s="4">
        <v>394204</v>
      </c>
      <c r="G18" s="4">
        <v>388942</v>
      </c>
      <c r="H18" s="4">
        <v>410692</v>
      </c>
      <c r="I18" s="4">
        <v>97806</v>
      </c>
      <c r="J18" s="4">
        <v>27257</v>
      </c>
      <c r="K18" s="4">
        <v>183020</v>
      </c>
      <c r="M18" s="19">
        <f t="shared" si="0"/>
        <v>3.3585890250951156E-2</v>
      </c>
      <c r="N18" s="5"/>
    </row>
    <row r="19" spans="3:14" x14ac:dyDescent="0.25">
      <c r="C19" s="5" t="s">
        <v>8</v>
      </c>
      <c r="D19" s="4">
        <v>46526</v>
      </c>
      <c r="E19" s="4">
        <v>51611</v>
      </c>
      <c r="F19" s="4">
        <v>54714</v>
      </c>
      <c r="G19" s="4">
        <v>57988</v>
      </c>
      <c r="H19" s="4">
        <v>59311</v>
      </c>
      <c r="I19" s="4">
        <v>17170</v>
      </c>
      <c r="J19" s="4">
        <v>1694</v>
      </c>
      <c r="K19" s="4">
        <v>23817</v>
      </c>
      <c r="M19" s="19">
        <f t="shared" si="0"/>
        <v>6.2575706589180546E-2</v>
      </c>
      <c r="N19" s="5"/>
    </row>
    <row r="20" spans="3:14" x14ac:dyDescent="0.25">
      <c r="C20" s="5" t="s">
        <v>103</v>
      </c>
      <c r="D20" s="4">
        <v>39771</v>
      </c>
      <c r="E20" s="4">
        <v>46698</v>
      </c>
      <c r="F20" s="4">
        <v>69912</v>
      </c>
      <c r="G20" s="4">
        <v>69647</v>
      </c>
      <c r="H20" s="4">
        <v>57677</v>
      </c>
      <c r="I20" s="4">
        <v>9199</v>
      </c>
      <c r="J20" s="4">
        <v>1595</v>
      </c>
      <c r="K20" s="4">
        <v>23648</v>
      </c>
      <c r="M20" s="20">
        <f t="shared" si="0"/>
        <v>9.7385046510437778E-2</v>
      </c>
      <c r="N20" s="19">
        <v>2.5000000000000001E-2</v>
      </c>
    </row>
    <row r="21" spans="3:14" x14ac:dyDescent="0.25">
      <c r="C21" s="5" t="s">
        <v>104</v>
      </c>
      <c r="D21" s="4">
        <f t="shared" ref="D21:K21" si="1">D22-SUM(D9:D20)</f>
        <v>466377</v>
      </c>
      <c r="E21" s="4">
        <f t="shared" si="1"/>
        <v>562398</v>
      </c>
      <c r="F21" s="4">
        <f t="shared" si="1"/>
        <v>756446</v>
      </c>
      <c r="G21" s="4">
        <f t="shared" si="1"/>
        <v>784833</v>
      </c>
      <c r="H21" s="4">
        <f t="shared" si="1"/>
        <v>679782</v>
      </c>
      <c r="I21" s="4">
        <f t="shared" si="1"/>
        <v>132908</v>
      </c>
      <c r="J21" s="4">
        <f t="shared" si="1"/>
        <v>30369</v>
      </c>
      <c r="K21" s="4">
        <f t="shared" si="1"/>
        <v>242100</v>
      </c>
      <c r="M21" s="19">
        <f>(H21/D21)^(1/4)-1</f>
        <v>9.8773392235408153E-2</v>
      </c>
      <c r="N21" s="5"/>
    </row>
    <row r="22" spans="3:14" x14ac:dyDescent="0.25">
      <c r="C22" s="27" t="s">
        <v>113</v>
      </c>
      <c r="D22" s="29">
        <v>4287546</v>
      </c>
      <c r="E22" s="29">
        <v>5448975</v>
      </c>
      <c r="F22" s="29">
        <v>6263341</v>
      </c>
      <c r="G22" s="29">
        <v>5510506</v>
      </c>
      <c r="H22" s="29">
        <v>4317228</v>
      </c>
      <c r="I22" s="29">
        <v>1058917</v>
      </c>
      <c r="J22" s="29">
        <v>167873</v>
      </c>
      <c r="K22" s="29">
        <v>1894399</v>
      </c>
      <c r="M22" s="19">
        <f>(H22/D22)^(1/4)-1</f>
        <v>1.7262353156641819E-3</v>
      </c>
      <c r="N22" s="5"/>
    </row>
    <row r="24" spans="3:14" ht="15.75" x14ac:dyDescent="0.25">
      <c r="C24" s="1" t="s">
        <v>123</v>
      </c>
    </row>
    <row r="25" spans="3:14" x14ac:dyDescent="0.25">
      <c r="C25" s="18" t="s">
        <v>114</v>
      </c>
    </row>
    <row r="26" spans="3:14" ht="5.25" customHeight="1" x14ac:dyDescent="0.25"/>
    <row r="27" spans="3:14" x14ac:dyDescent="0.25">
      <c r="C27" s="23" t="s">
        <v>99</v>
      </c>
      <c r="D27" s="17" t="s">
        <v>118</v>
      </c>
      <c r="E27" s="17" t="s">
        <v>119</v>
      </c>
      <c r="G27" s="25" t="s">
        <v>120</v>
      </c>
      <c r="H27" s="10" t="s">
        <v>122</v>
      </c>
    </row>
    <row r="28" spans="3:14" x14ac:dyDescent="0.25">
      <c r="C28" s="22" t="s">
        <v>10</v>
      </c>
      <c r="D28" s="4">
        <v>30201</v>
      </c>
      <c r="E28" s="4">
        <v>18315</v>
      </c>
      <c r="G28" s="24">
        <f t="shared" ref="G28:G41" si="2">1-(E28/D28)</f>
        <v>0.39356312704877316</v>
      </c>
      <c r="H28" s="4">
        <f t="shared" ref="H28:H34" si="3">G9*(1-(G28/2))</f>
        <v>64573.942982020468</v>
      </c>
    </row>
    <row r="29" spans="3:14" x14ac:dyDescent="0.25">
      <c r="C29" s="22" t="s">
        <v>31</v>
      </c>
      <c r="D29" s="4">
        <v>433175</v>
      </c>
      <c r="E29" s="4">
        <v>333067</v>
      </c>
      <c r="G29" s="24">
        <f t="shared" si="2"/>
        <v>0.23110290298378255</v>
      </c>
      <c r="H29" s="4">
        <f t="shared" si="3"/>
        <v>2142342.2298955387</v>
      </c>
    </row>
    <row r="30" spans="3:14" x14ac:dyDescent="0.25">
      <c r="C30" s="22" t="s">
        <v>11</v>
      </c>
      <c r="D30" s="4">
        <v>16531</v>
      </c>
      <c r="E30" s="4">
        <v>5491</v>
      </c>
      <c r="G30" s="24">
        <f t="shared" si="2"/>
        <v>0.6678361865585869</v>
      </c>
      <c r="H30" s="4">
        <f t="shared" si="3"/>
        <v>35071.210634565359</v>
      </c>
    </row>
    <row r="31" spans="3:14" x14ac:dyDescent="0.25">
      <c r="C31" s="22" t="s">
        <v>33</v>
      </c>
      <c r="D31" s="4">
        <v>159855</v>
      </c>
      <c r="E31" s="4">
        <v>66131</v>
      </c>
      <c r="G31" s="24">
        <f t="shared" si="2"/>
        <v>0.58630634012073446</v>
      </c>
      <c r="H31" s="4">
        <f t="shared" si="3"/>
        <v>382611.9479653436</v>
      </c>
    </row>
    <row r="32" spans="3:14" x14ac:dyDescent="0.25">
      <c r="C32" s="22" t="s">
        <v>100</v>
      </c>
      <c r="D32" s="4">
        <v>134846</v>
      </c>
      <c r="E32" s="4">
        <v>80899</v>
      </c>
      <c r="G32" s="24">
        <f t="shared" si="2"/>
        <v>0.40006377645610547</v>
      </c>
      <c r="H32" s="4">
        <f t="shared" si="3"/>
        <v>471318.8123489017</v>
      </c>
    </row>
    <row r="33" spans="3:10" x14ac:dyDescent="0.25">
      <c r="C33" s="22" t="s">
        <v>12</v>
      </c>
      <c r="D33" s="4">
        <v>41256</v>
      </c>
      <c r="E33" s="4">
        <v>44987</v>
      </c>
      <c r="G33" s="24">
        <f t="shared" si="2"/>
        <v>-9.0435330618576781E-2</v>
      </c>
      <c r="H33" s="4">
        <f t="shared" si="3"/>
        <v>138507.01891846035</v>
      </c>
    </row>
    <row r="34" spans="3:10" x14ac:dyDescent="0.25">
      <c r="C34" s="22" t="s">
        <v>101</v>
      </c>
      <c r="D34" s="4">
        <v>28460</v>
      </c>
      <c r="E34" s="4">
        <v>18953</v>
      </c>
      <c r="G34" s="24">
        <f t="shared" si="2"/>
        <v>0.33404778636683063</v>
      </c>
      <c r="H34" s="4">
        <f t="shared" si="3"/>
        <v>185216.40223120168</v>
      </c>
    </row>
    <row r="35" spans="3:10" x14ac:dyDescent="0.25">
      <c r="C35" s="22" t="s">
        <v>7</v>
      </c>
      <c r="D35" s="4">
        <v>75966</v>
      </c>
      <c r="E35" s="4">
        <v>70201</v>
      </c>
      <c r="G35" s="24">
        <f t="shared" si="2"/>
        <v>7.5889213595555893E-2</v>
      </c>
      <c r="H35" s="4">
        <f t="shared" ref="H35:H41" si="4">G16*(1-(G35/2))</f>
        <v>78196.8244148698</v>
      </c>
    </row>
    <row r="36" spans="3:10" x14ac:dyDescent="0.25">
      <c r="C36" s="22" t="s">
        <v>9</v>
      </c>
      <c r="D36" s="4">
        <v>29706</v>
      </c>
      <c r="E36" s="4">
        <v>17675</v>
      </c>
      <c r="G36" s="24">
        <f t="shared" si="2"/>
        <v>0.40500235642631122</v>
      </c>
      <c r="H36" s="4">
        <f t="shared" si="4"/>
        <v>69539.504763347475</v>
      </c>
    </row>
    <row r="37" spans="3:10" x14ac:dyDescent="0.25">
      <c r="C37" s="22" t="s">
        <v>102</v>
      </c>
      <c r="D37" s="4">
        <v>105036</v>
      </c>
      <c r="E37" s="4">
        <v>72738</v>
      </c>
      <c r="G37" s="24">
        <f t="shared" si="2"/>
        <v>0.30749457328915797</v>
      </c>
      <c r="H37" s="4">
        <f t="shared" si="4"/>
        <v>329143.22283788415</v>
      </c>
    </row>
    <row r="38" spans="3:10" x14ac:dyDescent="0.25">
      <c r="C38" s="22" t="s">
        <v>8</v>
      </c>
      <c r="D38" s="4">
        <v>19351</v>
      </c>
      <c r="E38" s="4">
        <v>13133</v>
      </c>
      <c r="G38" s="24">
        <f t="shared" si="2"/>
        <v>0.32132706320086812</v>
      </c>
      <c r="H38" s="4">
        <f t="shared" si="4"/>
        <v>48671.443129554027</v>
      </c>
    </row>
    <row r="39" spans="3:10" x14ac:dyDescent="0.25">
      <c r="C39" s="22" t="s">
        <v>103</v>
      </c>
      <c r="D39" s="4">
        <v>17267</v>
      </c>
      <c r="E39" s="4">
        <v>8772</v>
      </c>
      <c r="G39" s="24">
        <f t="shared" si="2"/>
        <v>0.49197891932588178</v>
      </c>
      <c r="H39" s="4">
        <f t="shared" si="4"/>
        <v>52514.572102855156</v>
      </c>
    </row>
    <row r="40" spans="3:10" x14ac:dyDescent="0.25">
      <c r="C40" s="22" t="s">
        <v>104</v>
      </c>
      <c r="D40" s="4">
        <f>D41-SUM(D28:D39)</f>
        <v>244947</v>
      </c>
      <c r="E40" s="4">
        <f>E41-SUM(E28:E39)</f>
        <v>117790</v>
      </c>
      <c r="G40" s="24">
        <f t="shared" si="2"/>
        <v>0.51912046279399215</v>
      </c>
      <c r="H40" s="4">
        <f t="shared" si="4"/>
        <v>581121.56491200137</v>
      </c>
    </row>
    <row r="41" spans="3:10" x14ac:dyDescent="0.25">
      <c r="C41" s="27" t="s">
        <v>113</v>
      </c>
      <c r="D41" s="28">
        <v>1336597</v>
      </c>
      <c r="E41" s="28">
        <v>868152</v>
      </c>
      <c r="G41" s="30">
        <f t="shared" si="2"/>
        <v>0.35047587268264102</v>
      </c>
      <c r="H41" s="28">
        <f t="shared" si="4"/>
        <v>4544856.3003635351</v>
      </c>
    </row>
    <row r="43" spans="3:10" ht="15.75" x14ac:dyDescent="0.25">
      <c r="C43" s="1" t="s">
        <v>141</v>
      </c>
    </row>
    <row r="44" spans="3:10" x14ac:dyDescent="0.25">
      <c r="C44" s="18" t="s">
        <v>144</v>
      </c>
    </row>
    <row r="45" spans="3:10" ht="8.25" customHeight="1" x14ac:dyDescent="0.25"/>
    <row r="46" spans="3:10" x14ac:dyDescent="0.25">
      <c r="C46" s="17" t="s">
        <v>99</v>
      </c>
      <c r="D46" s="17" t="s">
        <v>129</v>
      </c>
      <c r="E46" s="17" t="s">
        <v>130</v>
      </c>
      <c r="F46" s="17" t="s">
        <v>131</v>
      </c>
      <c r="G46" s="17" t="s">
        <v>132</v>
      </c>
      <c r="H46" s="17" t="s">
        <v>133</v>
      </c>
      <c r="I46" s="17" t="s">
        <v>134</v>
      </c>
      <c r="J46" s="17" t="s">
        <v>146</v>
      </c>
    </row>
    <row r="47" spans="3:10" x14ac:dyDescent="0.25">
      <c r="C47" s="22" t="s">
        <v>10</v>
      </c>
      <c r="D47" s="34">
        <v>97842872.940575197</v>
      </c>
      <c r="E47" s="34">
        <v>99362096</v>
      </c>
      <c r="F47" s="34">
        <v>96162423.439314604</v>
      </c>
      <c r="G47" s="34">
        <f>I9*$D66</f>
        <v>28634012.712366879</v>
      </c>
      <c r="H47" s="34">
        <f t="shared" ref="H47" si="5">J9*$D66</f>
        <v>4711365.7502161143</v>
      </c>
      <c r="I47" s="34">
        <f t="shared" ref="I47:I59" si="6">K9*$D66</f>
        <v>37533647.471491732</v>
      </c>
      <c r="J47" s="34">
        <f>SUM(D47:I47)</f>
        <v>364246418.31396455</v>
      </c>
    </row>
    <row r="48" spans="3:10" x14ac:dyDescent="0.25">
      <c r="C48" s="22" t="s">
        <v>31</v>
      </c>
      <c r="D48" s="34">
        <v>1288801749.2693701</v>
      </c>
      <c r="E48" s="34">
        <v>821747589</v>
      </c>
      <c r="F48" s="34">
        <v>392323995.95745301</v>
      </c>
      <c r="G48" s="34">
        <f t="shared" ref="G48:H48" si="7">I10*$D67</f>
        <v>113274235.06951961</v>
      </c>
      <c r="H48" s="34">
        <f t="shared" si="7"/>
        <v>5715407.880126995</v>
      </c>
      <c r="I48" s="34">
        <f t="shared" si="6"/>
        <v>178223045.73484951</v>
      </c>
      <c r="J48" s="34">
        <f t="shared" ref="J48:J59" si="8">SUM(D48:I48)</f>
        <v>2800086022.9113188</v>
      </c>
    </row>
    <row r="49" spans="3:10" x14ac:dyDescent="0.25">
      <c r="C49" s="22" t="s">
        <v>11</v>
      </c>
      <c r="D49" s="34">
        <v>68547242.324627995</v>
      </c>
      <c r="E49" s="34">
        <v>78003335</v>
      </c>
      <c r="F49" s="34">
        <v>61379694.925671197</v>
      </c>
      <c r="G49" s="34">
        <f t="shared" ref="G49:H49" si="9">I11*$D68</f>
        <v>16343354.090394633</v>
      </c>
      <c r="H49" s="34">
        <f t="shared" si="9"/>
        <v>173536.70525073574</v>
      </c>
      <c r="I49" s="34">
        <f t="shared" si="6"/>
        <v>9973606.1216364633</v>
      </c>
      <c r="J49" s="34">
        <f t="shared" si="8"/>
        <v>234420769.16758102</v>
      </c>
    </row>
    <row r="50" spans="3:10" x14ac:dyDescent="0.25">
      <c r="C50" s="22" t="s">
        <v>33</v>
      </c>
      <c r="D50" s="34">
        <v>6698890</v>
      </c>
      <c r="E50" s="34">
        <v>122279686</v>
      </c>
      <c r="F50" s="34">
        <v>103847274</v>
      </c>
      <c r="G50" s="34">
        <f t="shared" ref="G50:H50" si="10">I12*$D69</f>
        <v>29625734.458966129</v>
      </c>
      <c r="H50" s="34">
        <f t="shared" si="10"/>
        <v>811107.34023805906</v>
      </c>
      <c r="I50" s="34">
        <f t="shared" si="6"/>
        <v>32345708.430473447</v>
      </c>
      <c r="J50" s="34">
        <f t="shared" si="8"/>
        <v>295608400.22967768</v>
      </c>
    </row>
    <row r="51" spans="3:10" x14ac:dyDescent="0.25">
      <c r="C51" s="22" t="s">
        <v>4</v>
      </c>
      <c r="D51" s="34">
        <v>462714719.457403</v>
      </c>
      <c r="E51" s="34">
        <v>452506566</v>
      </c>
      <c r="F51" s="34">
        <v>384666267.87669098</v>
      </c>
      <c r="G51" s="34">
        <f t="shared" ref="G51:H51" si="11">I13*$D70</f>
        <v>55257449.099406525</v>
      </c>
      <c r="H51" s="34">
        <f t="shared" si="11"/>
        <v>9696592.3816441093</v>
      </c>
      <c r="I51" s="34">
        <f t="shared" si="6"/>
        <v>175404366.68998227</v>
      </c>
      <c r="J51" s="34">
        <f t="shared" si="8"/>
        <v>1540245961.5051267</v>
      </c>
    </row>
    <row r="52" spans="3:10" x14ac:dyDescent="0.25">
      <c r="C52" s="22" t="s">
        <v>12</v>
      </c>
      <c r="D52" s="34">
        <v>93972885.276703507</v>
      </c>
      <c r="E52" s="34">
        <v>95470355</v>
      </c>
      <c r="F52" s="34">
        <v>76752928.567524299</v>
      </c>
      <c r="G52" s="34">
        <f t="shared" ref="G52:H52" si="12">I14*$D71</f>
        <v>19037716.794700075</v>
      </c>
      <c r="H52" s="34">
        <f t="shared" si="12"/>
        <v>20905038.722783118</v>
      </c>
      <c r="I52" s="34">
        <f t="shared" si="6"/>
        <v>72732975.155773342</v>
      </c>
      <c r="J52" s="34">
        <f t="shared" si="8"/>
        <v>378871899.51748437</v>
      </c>
    </row>
    <row r="53" spans="3:10" x14ac:dyDescent="0.25">
      <c r="C53" s="22" t="s">
        <v>101</v>
      </c>
      <c r="D53" s="34">
        <v>282037203.88471299</v>
      </c>
      <c r="E53" s="34">
        <v>302257003.20789999</v>
      </c>
      <c r="F53" s="34">
        <v>301673695.22848499</v>
      </c>
      <c r="G53" s="34">
        <f t="shared" ref="G53:H53" si="13">I15*$D72</f>
        <v>83284066.638714567</v>
      </c>
      <c r="H53" s="34">
        <f t="shared" si="13"/>
        <v>23640889.38094997</v>
      </c>
      <c r="I53" s="34">
        <f t="shared" si="6"/>
        <v>181777928.73368305</v>
      </c>
      <c r="J53" s="34">
        <f t="shared" si="8"/>
        <v>1174670787.0744455</v>
      </c>
    </row>
    <row r="54" spans="3:10" x14ac:dyDescent="0.25">
      <c r="C54" s="22" t="s">
        <v>7</v>
      </c>
      <c r="D54" s="34">
        <v>122891403.65123156</v>
      </c>
      <c r="E54" s="34">
        <v>122127554</v>
      </c>
      <c r="F54" s="34">
        <v>107233771.170586</v>
      </c>
      <c r="G54" s="34">
        <f t="shared" ref="G54:H54" si="14">I16*$D73</f>
        <v>23406086.11515196</v>
      </c>
      <c r="H54" s="34">
        <f t="shared" si="14"/>
        <v>8704292.9125903379</v>
      </c>
      <c r="I54" s="34">
        <f t="shared" si="6"/>
        <v>51750707.947623506</v>
      </c>
      <c r="J54" s="34">
        <f t="shared" si="8"/>
        <v>436113815.79718333</v>
      </c>
    </row>
    <row r="55" spans="3:10" x14ac:dyDescent="0.25">
      <c r="C55" s="22" t="s">
        <v>9</v>
      </c>
      <c r="D55" s="34">
        <v>99427991.716205001</v>
      </c>
      <c r="E55" s="34">
        <v>106570778</v>
      </c>
      <c r="F55" s="34">
        <v>89797086.590521395</v>
      </c>
      <c r="G55" s="34">
        <f t="shared" ref="G55:H55" si="15">I17*$D74</f>
        <v>24840234.437224098</v>
      </c>
      <c r="H55" s="34">
        <f t="shared" si="15"/>
        <v>4111167.0693737017</v>
      </c>
      <c r="I55" s="34">
        <f t="shared" si="6"/>
        <v>35137228.255825996</v>
      </c>
      <c r="J55" s="34">
        <f t="shared" si="8"/>
        <v>359884486.06915021</v>
      </c>
    </row>
    <row r="56" spans="3:10" x14ac:dyDescent="0.25">
      <c r="C56" s="22" t="s">
        <v>102</v>
      </c>
      <c r="D56" s="34">
        <v>108019758.65301199</v>
      </c>
      <c r="E56" s="34">
        <v>123012765</v>
      </c>
      <c r="F56" s="34">
        <v>118879208.1066445</v>
      </c>
      <c r="G56" s="34">
        <f t="shared" ref="G56:H56" si="16">I18*$D75</f>
        <v>28310996.630269084</v>
      </c>
      <c r="H56" s="34">
        <f t="shared" si="16"/>
        <v>7889831.2491180953</v>
      </c>
      <c r="I56" s="34">
        <f t="shared" si="6"/>
        <v>52977103.687624969</v>
      </c>
      <c r="J56" s="34">
        <f t="shared" si="8"/>
        <v>439089663.32666868</v>
      </c>
    </row>
    <row r="57" spans="3:10" x14ac:dyDescent="0.25">
      <c r="C57" s="22" t="s">
        <v>8</v>
      </c>
      <c r="D57" s="34">
        <v>76746455.283194199</v>
      </c>
      <c r="E57" s="34">
        <v>82857067</v>
      </c>
      <c r="F57" s="34">
        <v>73884483.865278602</v>
      </c>
      <c r="G57" s="34">
        <f t="shared" ref="G57:H57" si="17">I19*$D76</f>
        <v>21388892.245398555</v>
      </c>
      <c r="H57" s="34">
        <f t="shared" si="17"/>
        <v>2110237.8254924375</v>
      </c>
      <c r="I57" s="34">
        <f t="shared" si="6"/>
        <v>29669146.570102353</v>
      </c>
      <c r="J57" s="34">
        <f t="shared" si="8"/>
        <v>286656282.78946614</v>
      </c>
    </row>
    <row r="58" spans="3:10" x14ac:dyDescent="0.25">
      <c r="C58" s="22" t="s">
        <v>103</v>
      </c>
      <c r="D58" s="34"/>
      <c r="E58" s="34"/>
      <c r="F58" s="34">
        <v>34078029</v>
      </c>
      <c r="G58" s="34">
        <f t="shared" ref="G58:H58" si="18">I20*$D77</f>
        <v>5435161.1347850962</v>
      </c>
      <c r="H58" s="34">
        <f t="shared" si="18"/>
        <v>942393.95694991073</v>
      </c>
      <c r="I58" s="34">
        <f t="shared" si="6"/>
        <v>13972245.952320682</v>
      </c>
      <c r="J58" s="34">
        <f t="shared" si="8"/>
        <v>54427830.044055685</v>
      </c>
    </row>
    <row r="59" spans="3:10" x14ac:dyDescent="0.25">
      <c r="C59" s="22" t="s">
        <v>104</v>
      </c>
      <c r="D59" s="34">
        <f>D60-SUM(D47:D58)</f>
        <v>933847286.00582457</v>
      </c>
      <c r="E59" s="34">
        <f t="shared" ref="E59:F59" si="19">E60-SUM(E47:E58)</f>
        <v>824256311.4138999</v>
      </c>
      <c r="F59" s="34">
        <f t="shared" si="19"/>
        <v>597776736.03708076</v>
      </c>
      <c r="G59" s="34">
        <f t="shared" ref="G59:H59" si="20">I21*$D78</f>
        <v>116874689.87589599</v>
      </c>
      <c r="H59" s="34">
        <f t="shared" si="20"/>
        <v>26705446.300005157</v>
      </c>
      <c r="I59" s="34">
        <f t="shared" si="6"/>
        <v>212894351.1222381</v>
      </c>
      <c r="J59" s="34">
        <f t="shared" si="8"/>
        <v>2712354820.7549443</v>
      </c>
    </row>
    <row r="60" spans="3:10" x14ac:dyDescent="0.25">
      <c r="C60" s="27" t="s">
        <v>113</v>
      </c>
      <c r="D60" s="35">
        <v>3641548458.4628601</v>
      </c>
      <c r="E60" s="35">
        <v>3230451105.6217999</v>
      </c>
      <c r="F60" s="35">
        <v>2438455594.7652502</v>
      </c>
      <c r="G60" s="35">
        <f t="shared" ref="G60:H60" si="21">SUM(G47:G59)</f>
        <v>565712629.30279326</v>
      </c>
      <c r="H60" s="35">
        <f t="shared" si="21"/>
        <v>116117307.47473873</v>
      </c>
      <c r="I60" s="35">
        <f>SUM(I47:I59)</f>
        <v>1084392061.8736253</v>
      </c>
      <c r="J60" s="35">
        <f>SUM(D60:I60)</f>
        <v>11076677157.501068</v>
      </c>
    </row>
    <row r="62" spans="3:10" ht="15.75" x14ac:dyDescent="0.25">
      <c r="C62" s="1" t="s">
        <v>143</v>
      </c>
    </row>
    <row r="63" spans="3:10" x14ac:dyDescent="0.25">
      <c r="C63" s="18" t="s">
        <v>142</v>
      </c>
    </row>
    <row r="64" spans="3:10" ht="6.75" customHeight="1" x14ac:dyDescent="0.25"/>
    <row r="65" spans="3:4" x14ac:dyDescent="0.25">
      <c r="C65" s="17" t="s">
        <v>99</v>
      </c>
      <c r="D65" s="17" t="s">
        <v>128</v>
      </c>
    </row>
    <row r="66" spans="3:4" x14ac:dyDescent="0.25">
      <c r="C66" s="33" t="s">
        <v>10</v>
      </c>
      <c r="D66" s="34">
        <f t="shared" ref="D66:D78" si="22">F47/H9</f>
        <v>1165.0261499050728</v>
      </c>
    </row>
    <row r="67" spans="3:4" x14ac:dyDescent="0.25">
      <c r="C67" s="33" t="s">
        <v>31</v>
      </c>
      <c r="D67" s="34">
        <f t="shared" si="22"/>
        <v>273.30756886605752</v>
      </c>
    </row>
    <row r="68" spans="3:4" x14ac:dyDescent="0.25">
      <c r="C68" s="33" t="s">
        <v>11</v>
      </c>
      <c r="D68" s="34">
        <f t="shared" si="22"/>
        <v>1188.6075702105188</v>
      </c>
    </row>
    <row r="69" spans="3:4" x14ac:dyDescent="0.25">
      <c r="C69" s="33" t="s">
        <v>33</v>
      </c>
      <c r="D69" s="34">
        <f t="shared" si="22"/>
        <v>222.0386915516176</v>
      </c>
    </row>
    <row r="70" spans="3:4" x14ac:dyDescent="0.25">
      <c r="C70" s="33" t="s">
        <v>100</v>
      </c>
      <c r="D70" s="34">
        <f t="shared" si="22"/>
        <v>709.59329540022759</v>
      </c>
    </row>
    <row r="71" spans="3:4" x14ac:dyDescent="0.25">
      <c r="C71" s="33" t="s">
        <v>12</v>
      </c>
      <c r="D71" s="34">
        <f t="shared" si="22"/>
        <v>582.26439915280389</v>
      </c>
    </row>
    <row r="72" spans="3:4" x14ac:dyDescent="0.25">
      <c r="C72" s="33" t="s">
        <v>101</v>
      </c>
      <c r="D72" s="34">
        <f t="shared" si="22"/>
        <v>1342.3171349619561</v>
      </c>
    </row>
    <row r="73" spans="3:4" x14ac:dyDescent="0.25">
      <c r="C73" s="33" t="s">
        <v>7</v>
      </c>
      <c r="D73" s="34">
        <f t="shared" si="22"/>
        <v>1237.1081456211396</v>
      </c>
    </row>
    <row r="74" spans="3:4" x14ac:dyDescent="0.25">
      <c r="C74" s="33" t="s">
        <v>9</v>
      </c>
      <c r="D74" s="34">
        <f t="shared" si="22"/>
        <v>1031.1429820350393</v>
      </c>
    </row>
    <row r="75" spans="3:4" x14ac:dyDescent="0.25">
      <c r="C75" s="33" t="s">
        <v>102</v>
      </c>
      <c r="D75" s="34">
        <f t="shared" si="22"/>
        <v>289.46073482474577</v>
      </c>
    </row>
    <row r="76" spans="3:4" x14ac:dyDescent="0.25">
      <c r="C76" s="33" t="s">
        <v>8</v>
      </c>
      <c r="D76" s="34">
        <f t="shared" si="22"/>
        <v>1245.7130020616514</v>
      </c>
    </row>
    <row r="77" spans="3:4" x14ac:dyDescent="0.25">
      <c r="C77" s="33" t="s">
        <v>103</v>
      </c>
      <c r="D77" s="34">
        <f t="shared" si="22"/>
        <v>590.84260623818852</v>
      </c>
    </row>
    <row r="78" spans="3:4" x14ac:dyDescent="0.25">
      <c r="C78" s="33" t="s">
        <v>104</v>
      </c>
      <c r="D78" s="34">
        <f t="shared" si="22"/>
        <v>879.36534953423416</v>
      </c>
    </row>
    <row r="79" spans="3:4" x14ac:dyDescent="0.25">
      <c r="C79" s="27" t="s">
        <v>113</v>
      </c>
      <c r="D79" s="35">
        <v>539.72468001765503</v>
      </c>
    </row>
    <row r="81" spans="3:10" ht="15.75" x14ac:dyDescent="0.25">
      <c r="C81" s="1" t="s">
        <v>151</v>
      </c>
    </row>
    <row r="82" spans="3:10" x14ac:dyDescent="0.25">
      <c r="C82" s="18" t="s">
        <v>152</v>
      </c>
    </row>
    <row r="83" spans="3:10" ht="7.5" customHeight="1" x14ac:dyDescent="0.25">
      <c r="D83" s="36"/>
      <c r="E83" s="36"/>
      <c r="F83" s="36"/>
      <c r="G83" s="36"/>
      <c r="H83" s="36"/>
      <c r="I83" s="36"/>
      <c r="J83" s="36"/>
    </row>
    <row r="84" spans="3:10" x14ac:dyDescent="0.25">
      <c r="C84" s="39" t="s">
        <v>99</v>
      </c>
      <c r="D84" s="25">
        <v>2017</v>
      </c>
      <c r="E84" s="25">
        <v>2018</v>
      </c>
      <c r="F84" s="25">
        <v>2019</v>
      </c>
      <c r="G84" s="25">
        <v>2020</v>
      </c>
      <c r="H84" s="25">
        <v>2021</v>
      </c>
      <c r="I84" s="25">
        <v>2022</v>
      </c>
      <c r="J84" s="25" t="s">
        <v>146</v>
      </c>
    </row>
    <row r="85" spans="3:10" x14ac:dyDescent="0.25">
      <c r="C85" s="5" t="s">
        <v>10</v>
      </c>
      <c r="D85" s="34">
        <v>278435840</v>
      </c>
      <c r="E85" s="34">
        <v>445549403</v>
      </c>
      <c r="F85" s="34">
        <v>432325971</v>
      </c>
      <c r="G85" s="34">
        <v>26812154</v>
      </c>
      <c r="H85" s="34">
        <v>162276309</v>
      </c>
      <c r="I85" s="34">
        <v>161678781</v>
      </c>
      <c r="J85" s="34">
        <f>SUM(D85:I85)</f>
        <v>1507078458</v>
      </c>
    </row>
    <row r="86" spans="3:10" x14ac:dyDescent="0.25">
      <c r="C86" s="5" t="s">
        <v>31</v>
      </c>
      <c r="D86" s="34">
        <v>741923721</v>
      </c>
      <c r="E86" s="34">
        <v>641687615</v>
      </c>
      <c r="F86" s="34">
        <v>489461406</v>
      </c>
      <c r="G86" s="34">
        <v>4741000</v>
      </c>
      <c r="H86" s="34">
        <v>334842178</v>
      </c>
      <c r="I86" s="34">
        <v>484210066.56</v>
      </c>
      <c r="J86" s="34">
        <f t="shared" ref="J86:J106" si="23">SUM(D86:I86)</f>
        <v>2696865986.5599999</v>
      </c>
    </row>
    <row r="87" spans="3:10" x14ac:dyDescent="0.25">
      <c r="C87" s="5" t="s">
        <v>11</v>
      </c>
      <c r="D87" s="34">
        <v>263100000</v>
      </c>
      <c r="E87" s="34">
        <v>158052623</v>
      </c>
      <c r="F87" s="34">
        <v>306069337</v>
      </c>
      <c r="G87" s="34">
        <v>14762843</v>
      </c>
      <c r="H87" s="34"/>
      <c r="I87" s="34"/>
      <c r="J87" s="34">
        <f t="shared" si="23"/>
        <v>741984803</v>
      </c>
    </row>
    <row r="88" spans="3:10" x14ac:dyDescent="0.25">
      <c r="C88" s="5" t="s">
        <v>33</v>
      </c>
      <c r="D88" s="34">
        <v>18800000</v>
      </c>
      <c r="E88" s="34"/>
      <c r="F88" s="34"/>
      <c r="G88" s="34"/>
      <c r="H88" s="34"/>
      <c r="I88" s="34"/>
      <c r="J88" s="34">
        <f t="shared" si="23"/>
        <v>18800000</v>
      </c>
    </row>
    <row r="89" spans="3:10" x14ac:dyDescent="0.25">
      <c r="C89" s="5" t="s">
        <v>4</v>
      </c>
      <c r="D89" s="34">
        <v>456342234</v>
      </c>
      <c r="E89" s="34">
        <v>866076467</v>
      </c>
      <c r="F89" s="34">
        <v>979677033</v>
      </c>
      <c r="G89" s="34">
        <v>5740000</v>
      </c>
      <c r="H89" s="34">
        <v>581220325</v>
      </c>
      <c r="I89" s="34">
        <v>813983279.36000001</v>
      </c>
      <c r="J89" s="34">
        <f t="shared" si="23"/>
        <v>3703039338.3600001</v>
      </c>
    </row>
    <row r="90" spans="3:10" x14ac:dyDescent="0.25">
      <c r="C90" s="5" t="s">
        <v>135</v>
      </c>
      <c r="D90" s="34">
        <v>164800000</v>
      </c>
      <c r="E90" s="34">
        <v>109600000</v>
      </c>
      <c r="F90" s="34">
        <v>45910272</v>
      </c>
      <c r="G90" s="34"/>
      <c r="H90" s="34">
        <v>62127813</v>
      </c>
      <c r="I90" s="34">
        <v>196148829</v>
      </c>
      <c r="J90" s="34">
        <f t="shared" si="23"/>
        <v>578586914</v>
      </c>
    </row>
    <row r="91" spans="3:10" x14ac:dyDescent="0.25">
      <c r="C91" s="5" t="s">
        <v>147</v>
      </c>
      <c r="D91" s="34"/>
      <c r="E91" s="34"/>
      <c r="F91" s="34">
        <v>32599103</v>
      </c>
      <c r="G91" s="34"/>
      <c r="H91" s="34"/>
      <c r="I91" s="34"/>
      <c r="J91" s="34">
        <f t="shared" si="23"/>
        <v>32599103</v>
      </c>
    </row>
    <row r="92" spans="3:10" x14ac:dyDescent="0.25">
      <c r="C92" s="5" t="s">
        <v>136</v>
      </c>
      <c r="D92" s="34">
        <v>470291172</v>
      </c>
      <c r="E92" s="34">
        <v>184781007</v>
      </c>
      <c r="F92" s="34">
        <v>193405645</v>
      </c>
      <c r="G92" s="34"/>
      <c r="H92" s="34">
        <v>4471167</v>
      </c>
      <c r="I92" s="34"/>
      <c r="J92" s="34">
        <f t="shared" si="23"/>
        <v>852948991</v>
      </c>
    </row>
    <row r="93" spans="3:10" x14ac:dyDescent="0.25">
      <c r="C93" s="5" t="s">
        <v>12</v>
      </c>
      <c r="D93" s="34">
        <v>142100000</v>
      </c>
      <c r="E93" s="34">
        <v>114000976</v>
      </c>
      <c r="F93" s="34">
        <v>88222716</v>
      </c>
      <c r="G93" s="34"/>
      <c r="H93" s="34">
        <v>153732682</v>
      </c>
      <c r="I93" s="34">
        <v>264345032.63999999</v>
      </c>
      <c r="J93" s="34">
        <f t="shared" si="23"/>
        <v>762401406.63999999</v>
      </c>
    </row>
    <row r="94" spans="3:10" x14ac:dyDescent="0.25">
      <c r="C94" s="5" t="s">
        <v>137</v>
      </c>
      <c r="D94" s="34"/>
      <c r="E94" s="34"/>
      <c r="F94" s="34"/>
      <c r="G94" s="34"/>
      <c r="H94" s="34"/>
      <c r="I94" s="34">
        <v>604450</v>
      </c>
      <c r="J94" s="34">
        <f t="shared" si="23"/>
        <v>604450</v>
      </c>
    </row>
    <row r="95" spans="3:10" x14ac:dyDescent="0.25">
      <c r="C95" s="5" t="s">
        <v>101</v>
      </c>
      <c r="D95" s="34">
        <v>1062021261</v>
      </c>
      <c r="E95" s="34">
        <v>1085323539</v>
      </c>
      <c r="F95" s="34">
        <v>1570211908</v>
      </c>
      <c r="G95" s="34">
        <v>45373397</v>
      </c>
      <c r="H95" s="34">
        <v>581552401</v>
      </c>
      <c r="I95" s="34">
        <v>998743082.5</v>
      </c>
      <c r="J95" s="34">
        <f t="shared" si="23"/>
        <v>5343225588.5</v>
      </c>
    </row>
    <row r="96" spans="3:10" x14ac:dyDescent="0.25">
      <c r="C96" s="5" t="s">
        <v>7</v>
      </c>
      <c r="D96" s="34">
        <v>252600000</v>
      </c>
      <c r="E96" s="34">
        <v>381099590</v>
      </c>
      <c r="F96" s="34">
        <v>596120853</v>
      </c>
      <c r="G96" s="34">
        <v>4566094</v>
      </c>
      <c r="H96" s="34">
        <v>528671788</v>
      </c>
      <c r="I96" s="34">
        <v>749413156</v>
      </c>
      <c r="J96" s="34">
        <f t="shared" si="23"/>
        <v>2512471481</v>
      </c>
    </row>
    <row r="97" spans="3:10" x14ac:dyDescent="0.25">
      <c r="C97" s="5" t="s">
        <v>9</v>
      </c>
      <c r="D97" s="34">
        <v>399978904</v>
      </c>
      <c r="E97" s="34">
        <v>325890823</v>
      </c>
      <c r="F97" s="34">
        <v>432796901</v>
      </c>
      <c r="G97" s="34">
        <v>16357517</v>
      </c>
      <c r="H97" s="34">
        <v>169256563</v>
      </c>
      <c r="I97" s="34">
        <v>152804831</v>
      </c>
      <c r="J97" s="34">
        <f t="shared" si="23"/>
        <v>1497085539</v>
      </c>
    </row>
    <row r="98" spans="3:10" x14ac:dyDescent="0.25">
      <c r="C98" s="5" t="s">
        <v>138</v>
      </c>
      <c r="D98" s="34">
        <v>258500000</v>
      </c>
      <c r="E98" s="34">
        <v>64400000.000000007</v>
      </c>
      <c r="F98" s="34">
        <v>57479910</v>
      </c>
      <c r="G98" s="34"/>
      <c r="H98" s="34"/>
      <c r="I98" s="34"/>
      <c r="J98" s="34">
        <f t="shared" si="23"/>
        <v>380379910</v>
      </c>
    </row>
    <row r="99" spans="3:10" x14ac:dyDescent="0.25">
      <c r="C99" s="5" t="s">
        <v>139</v>
      </c>
      <c r="D99" s="34">
        <v>108400000</v>
      </c>
      <c r="E99" s="34">
        <v>47200000</v>
      </c>
      <c r="F99" s="34">
        <v>19442201</v>
      </c>
      <c r="G99" s="34"/>
      <c r="H99" s="34"/>
      <c r="I99" s="34">
        <v>9752210</v>
      </c>
      <c r="J99" s="34">
        <f t="shared" si="23"/>
        <v>184794411</v>
      </c>
    </row>
    <row r="100" spans="3:10" x14ac:dyDescent="0.25">
      <c r="C100" s="5" t="s">
        <v>148</v>
      </c>
      <c r="D100" s="34">
        <v>379071821</v>
      </c>
      <c r="E100" s="34">
        <v>506414511</v>
      </c>
      <c r="F100" s="34">
        <v>408442944</v>
      </c>
      <c r="G100" s="34">
        <v>6270617</v>
      </c>
      <c r="H100" s="34">
        <v>384054057</v>
      </c>
      <c r="I100" s="34">
        <v>1000834043</v>
      </c>
      <c r="J100" s="34">
        <f t="shared" si="23"/>
        <v>2685087993</v>
      </c>
    </row>
    <row r="101" spans="3:10" x14ac:dyDescent="0.25">
      <c r="C101" s="5" t="s">
        <v>149</v>
      </c>
      <c r="D101" s="34"/>
      <c r="E101" s="34">
        <v>269800807</v>
      </c>
      <c r="F101" s="34">
        <v>1565419690</v>
      </c>
      <c r="G101" s="34">
        <v>253891383</v>
      </c>
      <c r="H101" s="34">
        <v>379538764</v>
      </c>
      <c r="I101" s="34">
        <v>968413064</v>
      </c>
      <c r="J101" s="34">
        <f t="shared" si="23"/>
        <v>3437063708</v>
      </c>
    </row>
    <row r="102" spans="3:10" x14ac:dyDescent="0.25">
      <c r="C102" s="5" t="s">
        <v>140</v>
      </c>
      <c r="D102" s="34">
        <v>152300000</v>
      </c>
      <c r="E102" s="34"/>
      <c r="F102" s="34"/>
      <c r="G102" s="34"/>
      <c r="H102" s="34"/>
      <c r="I102" s="34"/>
      <c r="J102" s="34">
        <f t="shared" si="23"/>
        <v>152300000</v>
      </c>
    </row>
    <row r="103" spans="3:10" x14ac:dyDescent="0.25">
      <c r="C103" s="5" t="s">
        <v>32</v>
      </c>
      <c r="D103" s="34">
        <v>88900000</v>
      </c>
      <c r="E103" s="34">
        <v>65000000</v>
      </c>
      <c r="F103" s="34">
        <v>36047513</v>
      </c>
      <c r="G103" s="34"/>
      <c r="H103" s="34">
        <v>178402042</v>
      </c>
      <c r="I103" s="34">
        <v>129779054.94</v>
      </c>
      <c r="J103" s="34">
        <f t="shared" si="23"/>
        <v>498128609.94</v>
      </c>
    </row>
    <row r="104" spans="3:10" x14ac:dyDescent="0.25">
      <c r="C104" s="5" t="s">
        <v>8</v>
      </c>
      <c r="D104" s="34">
        <v>530540565</v>
      </c>
      <c r="E104" s="34">
        <v>433810754</v>
      </c>
      <c r="F104" s="34">
        <v>409684761</v>
      </c>
      <c r="G104" s="34">
        <v>26410904</v>
      </c>
      <c r="H104" s="34">
        <v>203825427</v>
      </c>
      <c r="I104" s="34">
        <v>473491833</v>
      </c>
      <c r="J104" s="34">
        <f t="shared" si="23"/>
        <v>2077764244</v>
      </c>
    </row>
    <row r="105" spans="3:10" x14ac:dyDescent="0.25">
      <c r="C105" s="5" t="s">
        <v>150</v>
      </c>
      <c r="D105" s="34">
        <v>296478421.42400002</v>
      </c>
      <c r="E105" s="34">
        <v>517280390</v>
      </c>
      <c r="F105" s="34">
        <v>991701317</v>
      </c>
      <c r="G105" s="34">
        <v>383932102</v>
      </c>
      <c r="H105" s="34">
        <v>360799484</v>
      </c>
      <c r="I105" s="34">
        <v>396123249</v>
      </c>
      <c r="J105" s="34">
        <f t="shared" si="23"/>
        <v>2946314963.4239998</v>
      </c>
    </row>
    <row r="106" spans="3:10" x14ac:dyDescent="0.25">
      <c r="C106" s="5" t="s">
        <v>103</v>
      </c>
      <c r="D106" s="34"/>
      <c r="E106" s="34">
        <v>30600000</v>
      </c>
      <c r="F106" s="34">
        <v>35970519</v>
      </c>
      <c r="G106" s="34"/>
      <c r="H106" s="34"/>
      <c r="I106" s="34"/>
      <c r="J106" s="34">
        <f t="shared" si="23"/>
        <v>66570519</v>
      </c>
    </row>
    <row r="107" spans="3:10" x14ac:dyDescent="0.25">
      <c r="C107" s="27" t="s">
        <v>146</v>
      </c>
      <c r="D107" s="35">
        <f>SUM(D85:D106)</f>
        <v>6064583939.4239998</v>
      </c>
      <c r="E107" s="35">
        <f t="shared" ref="E107:J107" si="24">SUM(E85:E106)</f>
        <v>6246568505</v>
      </c>
      <c r="F107" s="35">
        <f t="shared" si="24"/>
        <v>8690990000</v>
      </c>
      <c r="G107" s="35">
        <f t="shared" si="24"/>
        <v>788858011</v>
      </c>
      <c r="H107" s="35">
        <f t="shared" si="24"/>
        <v>4084771000</v>
      </c>
      <c r="I107" s="35">
        <f t="shared" si="24"/>
        <v>6800324961.999999</v>
      </c>
      <c r="J107" s="35">
        <f t="shared" si="24"/>
        <v>32676096417.423996</v>
      </c>
    </row>
    <row r="109" spans="3:10" ht="15.75" x14ac:dyDescent="0.25">
      <c r="C109" s="1" t="s">
        <v>153</v>
      </c>
    </row>
    <row r="110" spans="3:10" x14ac:dyDescent="0.25">
      <c r="C110" s="18" t="s">
        <v>154</v>
      </c>
      <c r="D110" s="37">
        <v>835</v>
      </c>
    </row>
    <row r="111" spans="3:10" ht="6.75" customHeight="1" x14ac:dyDescent="0.25"/>
    <row r="112" spans="3:10" x14ac:dyDescent="0.25">
      <c r="C112" s="17" t="s">
        <v>99</v>
      </c>
      <c r="D112" s="25">
        <v>2017</v>
      </c>
      <c r="E112" s="25">
        <v>2018</v>
      </c>
      <c r="F112" s="25">
        <v>2019</v>
      </c>
      <c r="G112" s="25">
        <v>2020</v>
      </c>
      <c r="H112" s="25">
        <v>2021</v>
      </c>
      <c r="I112" s="25">
        <v>2022</v>
      </c>
      <c r="J112" s="25" t="s">
        <v>146</v>
      </c>
    </row>
    <row r="113" spans="3:10" x14ac:dyDescent="0.25">
      <c r="C113" s="5" t="s">
        <v>10</v>
      </c>
      <c r="D113" s="34">
        <f>D85/$D$110</f>
        <v>333456.09580838325</v>
      </c>
      <c r="E113" s="34">
        <f t="shared" ref="E113:J113" si="25">E85/$D$110</f>
        <v>533592.09940119763</v>
      </c>
      <c r="F113" s="34">
        <f t="shared" si="25"/>
        <v>517755.65389221557</v>
      </c>
      <c r="G113" s="34">
        <f t="shared" si="25"/>
        <v>32110.364071856289</v>
      </c>
      <c r="H113" s="34">
        <f t="shared" si="25"/>
        <v>194342.88502994011</v>
      </c>
      <c r="I113" s="34">
        <f t="shared" si="25"/>
        <v>193627.28263473054</v>
      </c>
      <c r="J113" s="34">
        <f t="shared" si="25"/>
        <v>1804884.3808383234</v>
      </c>
    </row>
    <row r="114" spans="3:10" x14ac:dyDescent="0.25">
      <c r="C114" s="5" t="s">
        <v>31</v>
      </c>
      <c r="D114" s="34">
        <f t="shared" ref="D114:J114" si="26">D86/$D$110</f>
        <v>888531.40239520953</v>
      </c>
      <c r="E114" s="34">
        <f t="shared" si="26"/>
        <v>768488.16167664668</v>
      </c>
      <c r="F114" s="34">
        <f t="shared" si="26"/>
        <v>586181.32455089816</v>
      </c>
      <c r="G114" s="34">
        <f t="shared" si="26"/>
        <v>5677.8443113772455</v>
      </c>
      <c r="H114" s="34">
        <f t="shared" si="26"/>
        <v>401008.5964071856</v>
      </c>
      <c r="I114" s="34">
        <f t="shared" si="26"/>
        <v>579892.29528143711</v>
      </c>
      <c r="J114" s="34">
        <f t="shared" si="26"/>
        <v>3229779.6246227543</v>
      </c>
    </row>
    <row r="115" spans="3:10" x14ac:dyDescent="0.25">
      <c r="C115" s="5" t="s">
        <v>11</v>
      </c>
      <c r="D115" s="34">
        <f t="shared" ref="D115:J115" si="27">D87/$D$110</f>
        <v>315089.82035928144</v>
      </c>
      <c r="E115" s="34">
        <f t="shared" si="27"/>
        <v>189284.57844311377</v>
      </c>
      <c r="F115" s="34">
        <f t="shared" si="27"/>
        <v>366550.10419161676</v>
      </c>
      <c r="G115" s="34">
        <f t="shared" si="27"/>
        <v>17680.051497005988</v>
      </c>
      <c r="H115" s="34">
        <f t="shared" si="27"/>
        <v>0</v>
      </c>
      <c r="I115" s="34">
        <f t="shared" si="27"/>
        <v>0</v>
      </c>
      <c r="J115" s="34">
        <f t="shared" si="27"/>
        <v>888604.55449101795</v>
      </c>
    </row>
    <row r="116" spans="3:10" x14ac:dyDescent="0.25">
      <c r="C116" s="5" t="s">
        <v>33</v>
      </c>
      <c r="D116" s="34">
        <f t="shared" ref="D116:J116" si="28">D88/$D$110</f>
        <v>22514.970059880241</v>
      </c>
      <c r="E116" s="34">
        <f t="shared" si="28"/>
        <v>0</v>
      </c>
      <c r="F116" s="34">
        <f t="shared" si="28"/>
        <v>0</v>
      </c>
      <c r="G116" s="34">
        <f t="shared" si="28"/>
        <v>0</v>
      </c>
      <c r="H116" s="34">
        <f t="shared" si="28"/>
        <v>0</v>
      </c>
      <c r="I116" s="34">
        <f t="shared" si="28"/>
        <v>0</v>
      </c>
      <c r="J116" s="34">
        <f t="shared" si="28"/>
        <v>22514.970059880241</v>
      </c>
    </row>
    <row r="117" spans="3:10" x14ac:dyDescent="0.25">
      <c r="C117" s="5" t="s">
        <v>4</v>
      </c>
      <c r="D117" s="34">
        <f t="shared" ref="D117:J117" si="29">D89/$D$110</f>
        <v>546517.64550898201</v>
      </c>
      <c r="E117" s="34">
        <f t="shared" si="29"/>
        <v>1037217.325748503</v>
      </c>
      <c r="F117" s="34">
        <f t="shared" si="29"/>
        <v>1173265.9077844312</v>
      </c>
      <c r="G117" s="34">
        <f t="shared" si="29"/>
        <v>6874.2514970059883</v>
      </c>
      <c r="H117" s="34">
        <f t="shared" si="29"/>
        <v>696072.24550898199</v>
      </c>
      <c r="I117" s="34">
        <f t="shared" si="29"/>
        <v>974830.27468263474</v>
      </c>
      <c r="J117" s="34">
        <f t="shared" si="29"/>
        <v>4434777.6507305391</v>
      </c>
    </row>
    <row r="118" spans="3:10" x14ac:dyDescent="0.25">
      <c r="C118" s="5" t="s">
        <v>135</v>
      </c>
      <c r="D118" s="34">
        <f t="shared" ref="D118:J118" si="30">D90/$D$110</f>
        <v>197365.26946107784</v>
      </c>
      <c r="E118" s="34">
        <f t="shared" si="30"/>
        <v>131257.48502994012</v>
      </c>
      <c r="F118" s="34">
        <f t="shared" si="30"/>
        <v>54982.361676646709</v>
      </c>
      <c r="G118" s="34">
        <f t="shared" si="30"/>
        <v>0</v>
      </c>
      <c r="H118" s="34">
        <f t="shared" si="30"/>
        <v>74404.566467065873</v>
      </c>
      <c r="I118" s="34">
        <f t="shared" si="30"/>
        <v>234908.77724550897</v>
      </c>
      <c r="J118" s="34">
        <f t="shared" si="30"/>
        <v>692918.45988023956</v>
      </c>
    </row>
    <row r="119" spans="3:10" x14ac:dyDescent="0.25">
      <c r="C119" s="5" t="s">
        <v>147</v>
      </c>
      <c r="D119" s="34">
        <f t="shared" ref="D119:J119" si="31">D91/$D$110</f>
        <v>0</v>
      </c>
      <c r="E119" s="34">
        <f t="shared" si="31"/>
        <v>0</v>
      </c>
      <c r="F119" s="34">
        <f t="shared" si="31"/>
        <v>39040.841916167665</v>
      </c>
      <c r="G119" s="34">
        <f t="shared" si="31"/>
        <v>0</v>
      </c>
      <c r="H119" s="34">
        <f t="shared" si="31"/>
        <v>0</v>
      </c>
      <c r="I119" s="34">
        <f t="shared" si="31"/>
        <v>0</v>
      </c>
      <c r="J119" s="34">
        <f t="shared" si="31"/>
        <v>39040.841916167665</v>
      </c>
    </row>
    <row r="120" spans="3:10" x14ac:dyDescent="0.25">
      <c r="C120" s="5" t="s">
        <v>136</v>
      </c>
      <c r="D120" s="34">
        <f t="shared" ref="D120:J120" si="32">D92/$D$110</f>
        <v>563222.96047904191</v>
      </c>
      <c r="E120" s="34">
        <f t="shared" si="32"/>
        <v>221294.61916167664</v>
      </c>
      <c r="F120" s="34">
        <f t="shared" si="32"/>
        <v>231623.5269461078</v>
      </c>
      <c r="G120" s="34">
        <f t="shared" si="32"/>
        <v>0</v>
      </c>
      <c r="H120" s="34">
        <f t="shared" si="32"/>
        <v>5354.6910179640718</v>
      </c>
      <c r="I120" s="34">
        <f t="shared" si="32"/>
        <v>0</v>
      </c>
      <c r="J120" s="34">
        <f t="shared" si="32"/>
        <v>1021495.7976047904</v>
      </c>
    </row>
    <row r="121" spans="3:10" x14ac:dyDescent="0.25">
      <c r="C121" s="5" t="s">
        <v>12</v>
      </c>
      <c r="D121" s="34">
        <f t="shared" ref="D121:J121" si="33">D93/$D$110</f>
        <v>170179.64071856288</v>
      </c>
      <c r="E121" s="34">
        <f t="shared" si="33"/>
        <v>136528.11497005989</v>
      </c>
      <c r="F121" s="34">
        <f t="shared" si="33"/>
        <v>105655.94730538921</v>
      </c>
      <c r="G121" s="34">
        <f t="shared" si="33"/>
        <v>0</v>
      </c>
      <c r="H121" s="34">
        <f t="shared" si="33"/>
        <v>184110.99640718562</v>
      </c>
      <c r="I121" s="34">
        <f t="shared" si="33"/>
        <v>316580.87741317361</v>
      </c>
      <c r="J121" s="34">
        <f t="shared" si="33"/>
        <v>913055.57681437128</v>
      </c>
    </row>
    <row r="122" spans="3:10" x14ac:dyDescent="0.25">
      <c r="C122" s="5" t="s">
        <v>137</v>
      </c>
      <c r="D122" s="34">
        <f t="shared" ref="D122:J122" si="34">D94/$D$110</f>
        <v>0</v>
      </c>
      <c r="E122" s="34">
        <f t="shared" si="34"/>
        <v>0</v>
      </c>
      <c r="F122" s="34">
        <f t="shared" si="34"/>
        <v>0</v>
      </c>
      <c r="G122" s="34">
        <f t="shared" si="34"/>
        <v>0</v>
      </c>
      <c r="H122" s="34">
        <f t="shared" si="34"/>
        <v>0</v>
      </c>
      <c r="I122" s="34">
        <f t="shared" si="34"/>
        <v>723.8922155688623</v>
      </c>
      <c r="J122" s="34">
        <f t="shared" si="34"/>
        <v>723.8922155688623</v>
      </c>
    </row>
    <row r="123" spans="3:10" x14ac:dyDescent="0.25">
      <c r="C123" s="33" t="s">
        <v>101</v>
      </c>
      <c r="D123" s="34">
        <f t="shared" ref="D123:J123" si="35">D95/$D$110</f>
        <v>1271881.7497005989</v>
      </c>
      <c r="E123" s="34">
        <f t="shared" si="35"/>
        <v>1299788.6694610778</v>
      </c>
      <c r="F123" s="34">
        <f t="shared" si="35"/>
        <v>1880493.3029940119</v>
      </c>
      <c r="G123" s="34">
        <f t="shared" si="35"/>
        <v>54339.397604790422</v>
      </c>
      <c r="H123" s="34">
        <f t="shared" si="35"/>
        <v>696469.94131736527</v>
      </c>
      <c r="I123" s="34">
        <f t="shared" si="35"/>
        <v>1196099.5</v>
      </c>
      <c r="J123" s="34">
        <f t="shared" si="35"/>
        <v>6399072.5610778444</v>
      </c>
    </row>
    <row r="124" spans="3:10" x14ac:dyDescent="0.25">
      <c r="C124" s="5" t="s">
        <v>7</v>
      </c>
      <c r="D124" s="34">
        <f t="shared" ref="D124:J124" si="36">D96/$D$110</f>
        <v>302514.97005988023</v>
      </c>
      <c r="E124" s="34">
        <f t="shared" si="36"/>
        <v>456406.69461077842</v>
      </c>
      <c r="F124" s="34">
        <f t="shared" si="36"/>
        <v>713917.18922155688</v>
      </c>
      <c r="G124" s="34">
        <f t="shared" si="36"/>
        <v>5468.3760479041912</v>
      </c>
      <c r="H124" s="34">
        <f t="shared" si="36"/>
        <v>633139.86586826353</v>
      </c>
      <c r="I124" s="34">
        <f t="shared" si="36"/>
        <v>897500.78562874254</v>
      </c>
      <c r="J124" s="34">
        <f t="shared" si="36"/>
        <v>3008947.8814371256</v>
      </c>
    </row>
    <row r="125" spans="3:10" x14ac:dyDescent="0.25">
      <c r="C125" s="5" t="s">
        <v>9</v>
      </c>
      <c r="D125" s="34">
        <f t="shared" ref="D125:J125" si="37">D97/$D$110</f>
        <v>479016.65149700601</v>
      </c>
      <c r="E125" s="34">
        <f t="shared" si="37"/>
        <v>390288.4107784431</v>
      </c>
      <c r="F125" s="34">
        <f t="shared" si="37"/>
        <v>518319.64191616769</v>
      </c>
      <c r="G125" s="34">
        <f t="shared" si="37"/>
        <v>19589.840718562875</v>
      </c>
      <c r="H125" s="34">
        <f t="shared" si="37"/>
        <v>202702.47065868264</v>
      </c>
      <c r="I125" s="34">
        <f t="shared" si="37"/>
        <v>182999.79760479042</v>
      </c>
      <c r="J125" s="34">
        <f t="shared" si="37"/>
        <v>1792916.8131736526</v>
      </c>
    </row>
    <row r="126" spans="3:10" x14ac:dyDescent="0.25">
      <c r="C126" s="5" t="s">
        <v>138</v>
      </c>
      <c r="D126" s="34">
        <f t="shared" ref="D126:J126" si="38">D98/$D$110</f>
        <v>309580.83832335327</v>
      </c>
      <c r="E126" s="34">
        <f t="shared" si="38"/>
        <v>77125.748502994014</v>
      </c>
      <c r="F126" s="34">
        <f t="shared" si="38"/>
        <v>68838.215568862273</v>
      </c>
      <c r="G126" s="34">
        <f t="shared" si="38"/>
        <v>0</v>
      </c>
      <c r="H126" s="34">
        <f t="shared" si="38"/>
        <v>0</v>
      </c>
      <c r="I126" s="34">
        <f t="shared" si="38"/>
        <v>0</v>
      </c>
      <c r="J126" s="34">
        <f t="shared" si="38"/>
        <v>455544.80239520955</v>
      </c>
    </row>
    <row r="127" spans="3:10" x14ac:dyDescent="0.25">
      <c r="C127" s="5" t="s">
        <v>139</v>
      </c>
      <c r="D127" s="34">
        <f t="shared" ref="D127:J127" si="39">D99/$D$110</f>
        <v>129820.35928143712</v>
      </c>
      <c r="E127" s="34">
        <f t="shared" si="39"/>
        <v>56526.946107784432</v>
      </c>
      <c r="F127" s="34">
        <f t="shared" si="39"/>
        <v>23284.073053892214</v>
      </c>
      <c r="G127" s="34">
        <f t="shared" si="39"/>
        <v>0</v>
      </c>
      <c r="H127" s="34">
        <f t="shared" si="39"/>
        <v>0</v>
      </c>
      <c r="I127" s="34">
        <f t="shared" si="39"/>
        <v>11679.293413173653</v>
      </c>
      <c r="J127" s="34">
        <f t="shared" si="39"/>
        <v>221310.67185628743</v>
      </c>
    </row>
    <row r="128" spans="3:10" x14ac:dyDescent="0.25">
      <c r="C128" s="5" t="s">
        <v>148</v>
      </c>
      <c r="D128" s="34">
        <f t="shared" ref="D128:J128" si="40">D100/$D$110</f>
        <v>453978.22874251497</v>
      </c>
      <c r="E128" s="34">
        <f t="shared" si="40"/>
        <v>606484.44431137724</v>
      </c>
      <c r="F128" s="34">
        <f t="shared" si="40"/>
        <v>489153.2263473054</v>
      </c>
      <c r="G128" s="34">
        <f t="shared" si="40"/>
        <v>7509.7209580838326</v>
      </c>
      <c r="H128" s="34">
        <f t="shared" si="40"/>
        <v>459944.9784431138</v>
      </c>
      <c r="I128" s="34">
        <f t="shared" si="40"/>
        <v>1198603.6443113773</v>
      </c>
      <c r="J128" s="34">
        <f t="shared" si="40"/>
        <v>3215674.2431137725</v>
      </c>
    </row>
    <row r="129" spans="3:13" x14ac:dyDescent="0.25">
      <c r="C129" s="5" t="s">
        <v>149</v>
      </c>
      <c r="D129" s="34">
        <f t="shared" ref="D129:J129" si="41">D101/$D$110</f>
        <v>0</v>
      </c>
      <c r="E129" s="34">
        <f t="shared" si="41"/>
        <v>323114.7389221557</v>
      </c>
      <c r="F129" s="34">
        <f t="shared" si="41"/>
        <v>1874754.1197604791</v>
      </c>
      <c r="G129" s="34">
        <f t="shared" si="41"/>
        <v>304061.53652694612</v>
      </c>
      <c r="H129" s="34">
        <f t="shared" si="41"/>
        <v>454537.44191616768</v>
      </c>
      <c r="I129" s="34">
        <f t="shared" si="41"/>
        <v>1159776.1245508981</v>
      </c>
      <c r="J129" s="34">
        <f t="shared" si="41"/>
        <v>4116243.9616766465</v>
      </c>
    </row>
    <row r="130" spans="3:13" x14ac:dyDescent="0.25">
      <c r="C130" s="5" t="s">
        <v>140</v>
      </c>
      <c r="D130" s="34">
        <f t="shared" ref="D130:J130" si="42">D102/$D$110</f>
        <v>182395.20958083833</v>
      </c>
      <c r="E130" s="34">
        <f t="shared" si="42"/>
        <v>0</v>
      </c>
      <c r="F130" s="34">
        <f t="shared" si="42"/>
        <v>0</v>
      </c>
      <c r="G130" s="34">
        <f t="shared" si="42"/>
        <v>0</v>
      </c>
      <c r="H130" s="34">
        <f t="shared" si="42"/>
        <v>0</v>
      </c>
      <c r="I130" s="34">
        <f t="shared" si="42"/>
        <v>0</v>
      </c>
      <c r="J130" s="34">
        <f t="shared" si="42"/>
        <v>182395.20958083833</v>
      </c>
    </row>
    <row r="131" spans="3:13" x14ac:dyDescent="0.25">
      <c r="C131" s="5" t="s">
        <v>32</v>
      </c>
      <c r="D131" s="34">
        <f t="shared" ref="D131:J131" si="43">D103/$D$110</f>
        <v>106467.06586826347</v>
      </c>
      <c r="E131" s="34">
        <f t="shared" si="43"/>
        <v>77844.311377245511</v>
      </c>
      <c r="F131" s="34">
        <f t="shared" si="43"/>
        <v>43170.674251497003</v>
      </c>
      <c r="G131" s="34">
        <f t="shared" si="43"/>
        <v>0</v>
      </c>
      <c r="H131" s="34">
        <f t="shared" si="43"/>
        <v>213655.14011976047</v>
      </c>
      <c r="I131" s="34">
        <f t="shared" si="43"/>
        <v>155424.01789221558</v>
      </c>
      <c r="J131" s="34">
        <f t="shared" si="43"/>
        <v>596561.20950898202</v>
      </c>
    </row>
    <row r="132" spans="3:13" x14ac:dyDescent="0.25">
      <c r="C132" s="5" t="s">
        <v>8</v>
      </c>
      <c r="D132" s="34">
        <f t="shared" ref="D132:J132" si="44">D104/$D$110</f>
        <v>635377.92215568863</v>
      </c>
      <c r="E132" s="34">
        <f t="shared" si="44"/>
        <v>519533.83712574851</v>
      </c>
      <c r="F132" s="34">
        <f t="shared" si="44"/>
        <v>490640.43233532936</v>
      </c>
      <c r="G132" s="34">
        <f t="shared" si="44"/>
        <v>31629.825149700599</v>
      </c>
      <c r="H132" s="34">
        <f t="shared" si="44"/>
        <v>244102.30778443115</v>
      </c>
      <c r="I132" s="34">
        <f t="shared" si="44"/>
        <v>567056.08742514974</v>
      </c>
      <c r="J132" s="34">
        <f t="shared" si="44"/>
        <v>2488340.4119760478</v>
      </c>
    </row>
    <row r="133" spans="3:13" x14ac:dyDescent="0.25">
      <c r="C133" s="5" t="s">
        <v>150</v>
      </c>
      <c r="D133" s="34">
        <f t="shared" ref="D133:J133" si="45">D105/$D$110</f>
        <v>355063.97775329347</v>
      </c>
      <c r="E133" s="34">
        <f t="shared" si="45"/>
        <v>619497.47305389226</v>
      </c>
      <c r="F133" s="34">
        <f t="shared" si="45"/>
        <v>1187666.2479041917</v>
      </c>
      <c r="G133" s="34">
        <f t="shared" si="45"/>
        <v>459798.9245508982</v>
      </c>
      <c r="H133" s="34">
        <f t="shared" si="45"/>
        <v>432095.19041916169</v>
      </c>
      <c r="I133" s="34">
        <f t="shared" si="45"/>
        <v>474399.10059880238</v>
      </c>
      <c r="J133" s="34">
        <f t="shared" si="45"/>
        <v>3528520.9142802395</v>
      </c>
    </row>
    <row r="134" spans="3:13" x14ac:dyDescent="0.25">
      <c r="C134" s="5" t="s">
        <v>103</v>
      </c>
      <c r="D134" s="34">
        <f t="shared" ref="D134:J134" si="46">D106/$D$110</f>
        <v>0</v>
      </c>
      <c r="E134" s="34">
        <f t="shared" si="46"/>
        <v>36646.706586826345</v>
      </c>
      <c r="F134" s="34">
        <f t="shared" si="46"/>
        <v>43078.465868263476</v>
      </c>
      <c r="G134" s="34">
        <f t="shared" si="46"/>
        <v>0</v>
      </c>
      <c r="H134" s="34">
        <f t="shared" si="46"/>
        <v>0</v>
      </c>
      <c r="I134" s="34">
        <f t="shared" si="46"/>
        <v>0</v>
      </c>
      <c r="J134" s="34">
        <f t="shared" si="46"/>
        <v>79725.172455089822</v>
      </c>
    </row>
    <row r="135" spans="3:13" x14ac:dyDescent="0.25">
      <c r="C135" s="27" t="s">
        <v>146</v>
      </c>
      <c r="D135" s="35">
        <f t="shared" ref="D135:J135" si="47">D107/$D$110</f>
        <v>7262974.7777532935</v>
      </c>
      <c r="E135" s="35">
        <f t="shared" si="47"/>
        <v>7480920.3652694607</v>
      </c>
      <c r="F135" s="35">
        <f t="shared" si="47"/>
        <v>10408371.25748503</v>
      </c>
      <c r="G135" s="35">
        <f t="shared" si="47"/>
        <v>944740.13293413178</v>
      </c>
      <c r="H135" s="35">
        <f t="shared" si="47"/>
        <v>4891941.3173652692</v>
      </c>
      <c r="I135" s="35">
        <f t="shared" si="47"/>
        <v>8144101.7508982029</v>
      </c>
      <c r="J135" s="35">
        <f t="shared" si="47"/>
        <v>39133049.601705387</v>
      </c>
    </row>
    <row r="137" spans="3:13" ht="15.75" x14ac:dyDescent="0.25">
      <c r="C137" s="1" t="s">
        <v>160</v>
      </c>
      <c r="I137" s="1" t="s">
        <v>162</v>
      </c>
    </row>
    <row r="138" spans="3:13" x14ac:dyDescent="0.25">
      <c r="C138" s="18" t="s">
        <v>156</v>
      </c>
      <c r="I138" s="18" t="s">
        <v>161</v>
      </c>
    </row>
    <row r="139" spans="3:13" ht="9" customHeight="1" x14ac:dyDescent="0.25"/>
    <row r="140" spans="3:13" x14ac:dyDescent="0.25">
      <c r="C140" s="17" t="s">
        <v>99</v>
      </c>
      <c r="D140" s="25">
        <v>2017</v>
      </c>
      <c r="E140" s="25">
        <v>2018</v>
      </c>
      <c r="F140" s="25">
        <v>2019</v>
      </c>
      <c r="G140" s="25">
        <v>2022</v>
      </c>
      <c r="I140" s="25" t="s">
        <v>158</v>
      </c>
      <c r="J140" s="25" t="s">
        <v>157</v>
      </c>
      <c r="K140" s="25" t="s">
        <v>159</v>
      </c>
      <c r="L140" s="25" t="s">
        <v>163</v>
      </c>
      <c r="M140" s="25" t="s">
        <v>167</v>
      </c>
    </row>
    <row r="141" spans="3:13" x14ac:dyDescent="0.25">
      <c r="C141" s="33" t="s">
        <v>10</v>
      </c>
      <c r="D141" s="38">
        <f>VLOOKUP($C141,$C$46:$J$60,2,FALSE)/VLOOKUP($C141,$C$112:$J$135,2,FALSE)</f>
        <v>293.42055572077317</v>
      </c>
      <c r="E141" s="38">
        <f>VLOOKUP($C141,$C$46:$J$60,3,FALSE)/VLOOKUP($C141,$C$112:$J$135,3,FALSE)</f>
        <v>186.21358170689771</v>
      </c>
      <c r="F141" s="38">
        <f>VLOOKUP($C141,$C$46:$J$60,4,FALSE)/VLOOKUP($C141,$C$112:$J$135,4,FALSE)</f>
        <v>185.72935460272799</v>
      </c>
      <c r="G141" s="38">
        <f>VLOOKUP($C141,$C$46:$J$60,7,FALSE)/VLOOKUP($C141,$C$112:$J$135,7,FALSE)</f>
        <v>193.8448288937532</v>
      </c>
      <c r="I141" s="38">
        <f>VLOOKUP($C141,$C$46:$J$60,8,FALSE)/VLOOKUP($C141,$C$112:$J$135,8,FALSE)</f>
        <v>201.81149672577988</v>
      </c>
      <c r="J141" s="38">
        <f>AVERAGE(D141:F141)</f>
        <v>221.78783067679964</v>
      </c>
      <c r="K141" s="38">
        <f t="shared" ref="K141:K149" si="48">MAX(D141:G141)</f>
        <v>293.42055572077317</v>
      </c>
      <c r="L141" s="38">
        <f>MIN(D141:G141)</f>
        <v>185.72935460272799</v>
      </c>
      <c r="M141" s="38">
        <f>MIN(D141:F141)</f>
        <v>185.72935460272799</v>
      </c>
    </row>
    <row r="142" spans="3:13" x14ac:dyDescent="0.25">
      <c r="C142" s="33" t="s">
        <v>31</v>
      </c>
      <c r="D142" s="38">
        <f t="shared" ref="D142:D149" si="49">VLOOKUP($C142,$C$46:$J$60,2,FALSE)/VLOOKUP($C142,$C$112:$J$135,2,FALSE)</f>
        <v>1450.4853129502837</v>
      </c>
      <c r="E142" s="38">
        <f t="shared" ref="E142:E149" si="50">VLOOKUP($C142,$C$46:$J$60,3,FALSE)/VLOOKUP($C142,$C$112:$J$135,3,FALSE)</f>
        <v>1069.3041610519474</v>
      </c>
      <c r="F142" s="38">
        <f t="shared" ref="F142:F149" si="51">VLOOKUP($C142,$C$46:$J$60,4,FALSE)/VLOOKUP($C142,$C$112:$J$135,4,FALSE)</f>
        <v>669.2877775627386</v>
      </c>
      <c r="G142" s="38">
        <f t="shared" ref="G142:G149" si="52">VLOOKUP($C142,$C$46:$J$60,7,FALSE)/VLOOKUP($C142,$C$112:$J$135,7,FALSE)</f>
        <v>307.3381853579433</v>
      </c>
      <c r="I142" s="38">
        <f t="shared" ref="I142:I149" si="53">VLOOKUP($C142,$C$46:$J$60,8,FALSE)/VLOOKUP($C142,$C$112:$J$135,8,FALSE)</f>
        <v>866.95884807879895</v>
      </c>
      <c r="J142" s="38">
        <f t="shared" ref="J142:J149" si="54">AVERAGE(D142:F142)</f>
        <v>1063.0257505216566</v>
      </c>
      <c r="K142" s="38">
        <f t="shared" si="48"/>
        <v>1450.4853129502837</v>
      </c>
      <c r="L142" s="38">
        <f t="shared" ref="L142:L149" si="55">MIN(D142:G142)</f>
        <v>307.3381853579433</v>
      </c>
      <c r="M142" s="38">
        <f t="shared" ref="M142:M149" si="56">MIN(D142:F142)</f>
        <v>669.2877775627386</v>
      </c>
    </row>
    <row r="143" spans="3:13" x14ac:dyDescent="0.25">
      <c r="C143" s="33" t="s">
        <v>11</v>
      </c>
      <c r="D143" s="38">
        <f t="shared" si="49"/>
        <v>217.54826051335758</v>
      </c>
      <c r="E143" s="38">
        <f t="shared" si="50"/>
        <v>412.09556341877351</v>
      </c>
      <c r="F143" s="38">
        <f t="shared" si="51"/>
        <v>167.45240070531943</v>
      </c>
      <c r="G143" s="38"/>
      <c r="I143" s="38">
        <f t="shared" si="53"/>
        <v>263.80775113386005</v>
      </c>
      <c r="J143" s="38">
        <f t="shared" si="54"/>
        <v>265.69874154581686</v>
      </c>
      <c r="K143" s="38">
        <f t="shared" si="48"/>
        <v>412.09556341877351</v>
      </c>
      <c r="L143" s="38">
        <f t="shared" si="55"/>
        <v>167.45240070531943</v>
      </c>
      <c r="M143" s="38">
        <f t="shared" si="56"/>
        <v>167.45240070531943</v>
      </c>
    </row>
    <row r="144" spans="3:13" x14ac:dyDescent="0.25">
      <c r="C144" s="33" t="s">
        <v>4</v>
      </c>
      <c r="D144" s="38">
        <f t="shared" si="49"/>
        <v>846.66016414981118</v>
      </c>
      <c r="E144" s="38">
        <f t="shared" si="50"/>
        <v>436.26977178909999</v>
      </c>
      <c r="F144" s="38">
        <f t="shared" si="51"/>
        <v>327.85940963978578</v>
      </c>
      <c r="G144" s="38">
        <f t="shared" si="52"/>
        <v>179.93323683662453</v>
      </c>
      <c r="I144" s="38">
        <f t="shared" si="53"/>
        <v>347.3107521526818</v>
      </c>
      <c r="J144" s="38">
        <f t="shared" si="54"/>
        <v>536.92978185956565</v>
      </c>
      <c r="K144" s="38">
        <f t="shared" si="48"/>
        <v>846.66016414981118</v>
      </c>
      <c r="L144" s="38">
        <f t="shared" si="55"/>
        <v>179.93323683662453</v>
      </c>
      <c r="M144" s="38">
        <f t="shared" si="56"/>
        <v>327.85940963978578</v>
      </c>
    </row>
    <row r="145" spans="3:13" x14ac:dyDescent="0.25">
      <c r="C145" s="33" t="s">
        <v>12</v>
      </c>
      <c r="D145" s="38">
        <f t="shared" si="49"/>
        <v>552.19816471532317</v>
      </c>
      <c r="E145" s="38">
        <f t="shared" si="50"/>
        <v>699.27249065832552</v>
      </c>
      <c r="F145" s="38">
        <f t="shared" si="51"/>
        <v>726.44210311868881</v>
      </c>
      <c r="G145" s="38">
        <f t="shared" si="52"/>
        <v>229.74532053257479</v>
      </c>
      <c r="I145" s="38">
        <f t="shared" si="53"/>
        <v>414.9494391561127</v>
      </c>
      <c r="J145" s="38">
        <f t="shared" si="54"/>
        <v>659.30425283077921</v>
      </c>
      <c r="K145" s="38">
        <f t="shared" si="48"/>
        <v>726.44210311868881</v>
      </c>
      <c r="L145" s="38">
        <f t="shared" si="55"/>
        <v>229.74532053257479</v>
      </c>
      <c r="M145" s="38">
        <f t="shared" si="56"/>
        <v>552.19816471532317</v>
      </c>
    </row>
    <row r="146" spans="3:13" x14ac:dyDescent="0.25">
      <c r="C146" s="33" t="s">
        <v>101</v>
      </c>
      <c r="D146" s="38">
        <f t="shared" si="49"/>
        <v>221.74797613937349</v>
      </c>
      <c r="E146" s="38">
        <f t="shared" si="50"/>
        <v>232.54318975808789</v>
      </c>
      <c r="F146" s="38">
        <f t="shared" si="51"/>
        <v>160.42263737295832</v>
      </c>
      <c r="G146" s="38">
        <f t="shared" si="52"/>
        <v>151.97559127286905</v>
      </c>
      <c r="I146" s="38">
        <f t="shared" si="53"/>
        <v>183.5689118794094</v>
      </c>
      <c r="J146" s="38">
        <f t="shared" si="54"/>
        <v>204.90460109013989</v>
      </c>
      <c r="K146" s="38">
        <f t="shared" si="48"/>
        <v>232.54318975808789</v>
      </c>
      <c r="L146" s="38">
        <f t="shared" si="55"/>
        <v>151.97559127286905</v>
      </c>
      <c r="M146" s="38">
        <f t="shared" si="56"/>
        <v>160.42263737295832</v>
      </c>
    </row>
    <row r="147" spans="3:13" x14ac:dyDescent="0.25">
      <c r="C147" s="33" t="s">
        <v>7</v>
      </c>
      <c r="D147" s="38">
        <f t="shared" si="49"/>
        <v>406.23247050189372</v>
      </c>
      <c r="E147" s="38">
        <f t="shared" si="50"/>
        <v>267.58493125117246</v>
      </c>
      <c r="F147" s="38">
        <f t="shared" si="51"/>
        <v>150.20477555318689</v>
      </c>
      <c r="G147" s="38">
        <f t="shared" si="52"/>
        <v>57.660905456890092</v>
      </c>
      <c r="I147" s="38">
        <f t="shared" si="53"/>
        <v>144.93897301700281</v>
      </c>
      <c r="J147" s="38">
        <f t="shared" si="54"/>
        <v>274.67405910208436</v>
      </c>
      <c r="K147" s="38">
        <f t="shared" si="48"/>
        <v>406.23247050189372</v>
      </c>
      <c r="L147" s="38">
        <f t="shared" si="55"/>
        <v>57.660905456890092</v>
      </c>
      <c r="M147" s="38">
        <f t="shared" si="56"/>
        <v>150.20477555318689</v>
      </c>
    </row>
    <row r="148" spans="3:13" x14ac:dyDescent="0.25">
      <c r="C148" s="33" t="s">
        <v>9</v>
      </c>
      <c r="D148" s="38">
        <f t="shared" si="49"/>
        <v>207.56687978481779</v>
      </c>
      <c r="E148" s="38">
        <f t="shared" si="50"/>
        <v>273.05647581859034</v>
      </c>
      <c r="F148" s="38">
        <f t="shared" si="51"/>
        <v>173.24654388661014</v>
      </c>
      <c r="G148" s="38">
        <f t="shared" si="52"/>
        <v>192.00692413720026</v>
      </c>
      <c r="I148" s="38">
        <f t="shared" si="53"/>
        <v>200.72570206540513</v>
      </c>
      <c r="J148" s="38">
        <f t="shared" si="54"/>
        <v>217.95663316333943</v>
      </c>
      <c r="K148" s="38">
        <f t="shared" si="48"/>
        <v>273.05647581859034</v>
      </c>
      <c r="L148" s="38">
        <f t="shared" si="55"/>
        <v>173.24654388661014</v>
      </c>
      <c r="M148" s="38">
        <f t="shared" si="56"/>
        <v>173.24654388661014</v>
      </c>
    </row>
    <row r="149" spans="3:13" x14ac:dyDescent="0.25">
      <c r="C149" s="33" t="s">
        <v>8</v>
      </c>
      <c r="D149" s="38">
        <f t="shared" si="49"/>
        <v>120.78867176059791</v>
      </c>
      <c r="E149" s="38">
        <f t="shared" si="50"/>
        <v>159.48348515352848</v>
      </c>
      <c r="F149" s="38">
        <f t="shared" si="51"/>
        <v>150.58784192245713</v>
      </c>
      <c r="G149" s="38">
        <f t="shared" si="52"/>
        <v>52.321361551415528</v>
      </c>
      <c r="I149" s="38">
        <f t="shared" si="53"/>
        <v>115.19978593355957</v>
      </c>
      <c r="J149" s="38">
        <f t="shared" si="54"/>
        <v>143.6199996121945</v>
      </c>
      <c r="K149" s="38">
        <f t="shared" si="48"/>
        <v>159.48348515352848</v>
      </c>
      <c r="L149" s="38">
        <f t="shared" si="55"/>
        <v>52.321361551415528</v>
      </c>
      <c r="M149" s="38">
        <f t="shared" si="56"/>
        <v>120.78867176059791</v>
      </c>
    </row>
    <row r="151" spans="3:13" ht="15.75" x14ac:dyDescent="0.25">
      <c r="C151" s="1" t="s">
        <v>168</v>
      </c>
    </row>
    <row r="152" spans="3:13" x14ac:dyDescent="0.25">
      <c r="C152" s="18" t="s">
        <v>144</v>
      </c>
    </row>
    <row r="153" spans="3:13" ht="7.5" customHeight="1" x14ac:dyDescent="0.25"/>
    <row r="154" spans="3:13" x14ac:dyDescent="0.25">
      <c r="C154" s="25">
        <v>2014</v>
      </c>
      <c r="D154" s="25">
        <v>2015</v>
      </c>
      <c r="E154" s="25">
        <v>2016</v>
      </c>
      <c r="F154" s="25">
        <v>2017</v>
      </c>
      <c r="G154" s="25">
        <v>2018</v>
      </c>
      <c r="H154" s="25">
        <v>2019</v>
      </c>
      <c r="I154" s="25" t="s">
        <v>169</v>
      </c>
    </row>
    <row r="155" spans="3:13" x14ac:dyDescent="0.25">
      <c r="C155" s="4">
        <v>2213611537.6465793</v>
      </c>
      <c r="D155" s="4">
        <v>2431146134.7461905</v>
      </c>
      <c r="E155" s="4">
        <v>2619810156</v>
      </c>
      <c r="F155" s="4">
        <v>3641548458</v>
      </c>
      <c r="G155" s="42">
        <v>3230451105.6217995</v>
      </c>
      <c r="H155" s="4">
        <v>2438455595</v>
      </c>
      <c r="I155" s="24">
        <f>(H155/C155)^(1/($H$154-$C$154))-1</f>
        <v>1.9536288572635119E-2</v>
      </c>
    </row>
  </sheetData>
  <phoneticPr fontId="20" type="noConversion"/>
  <pageMargins left="0.7" right="0.7" top="0.75" bottom="0.75" header="0.3" footer="0.3"/>
  <pageSetup paperSize="9" orientation="portrait" r:id="rId1"/>
  <ignoredErrors>
    <ignoredError sqref="D107:I107" formulaRange="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C9136-FE9F-4152-8F82-9365CF7BF913}">
  <sheetPr>
    <tabColor theme="9" tint="0.79998168889431442"/>
  </sheetPr>
  <dimension ref="B2:N145"/>
  <sheetViews>
    <sheetView showGridLines="0" zoomScale="85" zoomScaleNormal="85" workbookViewId="0">
      <pane xSplit="3" ySplit="5" topLeftCell="D6" activePane="bottomRight" state="frozen"/>
      <selection activeCell="L138" sqref="L138"/>
      <selection pane="topRight" activeCell="L138" sqref="L138"/>
      <selection pane="bottomLeft" activeCell="L138" sqref="L138"/>
      <selection pane="bottomRight"/>
    </sheetView>
  </sheetViews>
  <sheetFormatPr baseColWidth="10" defaultRowHeight="15" x14ac:dyDescent="0.25"/>
  <cols>
    <col min="1" max="2" width="2.28515625" customWidth="1"/>
    <col min="3" max="3" width="18.28515625" customWidth="1"/>
    <col min="4" max="4" width="35.85546875" style="67" bestFit="1" customWidth="1"/>
    <col min="5" max="5" width="24.85546875" style="67" customWidth="1"/>
    <col min="6" max="6" width="34.85546875" customWidth="1"/>
    <col min="7" max="7" width="15.5703125" customWidth="1"/>
    <col min="8" max="8" width="13.42578125" bestFit="1" customWidth="1"/>
    <col min="9" max="10" width="13.42578125" customWidth="1"/>
    <col min="11" max="11" width="11.85546875" hidden="1" customWidth="1"/>
  </cols>
  <sheetData>
    <row r="2" spans="2:10" ht="18.75" x14ac:dyDescent="0.3">
      <c r="B2" s="14" t="s">
        <v>265</v>
      </c>
    </row>
    <row r="3" spans="2:10" x14ac:dyDescent="0.25">
      <c r="B3" t="s">
        <v>297</v>
      </c>
    </row>
    <row r="5" spans="2:10" x14ac:dyDescent="0.25">
      <c r="C5" s="228" t="s">
        <v>0</v>
      </c>
      <c r="D5" s="229" t="s">
        <v>171</v>
      </c>
      <c r="E5" s="229" t="s">
        <v>172</v>
      </c>
      <c r="F5" s="230" t="s">
        <v>173</v>
      </c>
      <c r="G5" s="231" t="s">
        <v>352</v>
      </c>
      <c r="H5" s="231" t="s">
        <v>353</v>
      </c>
      <c r="I5" s="231" t="s">
        <v>354</v>
      </c>
      <c r="J5" s="232" t="s">
        <v>355</v>
      </c>
    </row>
    <row r="6" spans="2:10" x14ac:dyDescent="0.25">
      <c r="C6" s="204" t="s">
        <v>4</v>
      </c>
      <c r="D6" s="43" t="s">
        <v>174</v>
      </c>
      <c r="E6" s="43" t="s">
        <v>175</v>
      </c>
      <c r="F6" s="90" t="s">
        <v>176</v>
      </c>
      <c r="G6" s="44">
        <v>100967168</v>
      </c>
      <c r="H6" s="44">
        <v>101000000</v>
      </c>
      <c r="I6" s="44">
        <f>H6*(1+($E$136/2))</f>
        <v>135845000</v>
      </c>
      <c r="J6" s="218">
        <f>I6*(1+($F$136/2))</f>
        <v>182236067.5</v>
      </c>
    </row>
    <row r="7" spans="2:10" x14ac:dyDescent="0.25">
      <c r="C7" s="204" t="s">
        <v>4</v>
      </c>
      <c r="D7" s="43" t="s">
        <v>174</v>
      </c>
      <c r="E7" s="43" t="s">
        <v>177</v>
      </c>
      <c r="F7" s="90" t="s">
        <v>178</v>
      </c>
      <c r="G7" s="44">
        <v>12000000</v>
      </c>
      <c r="H7" s="44">
        <v>20000000</v>
      </c>
      <c r="I7" s="44">
        <f>H7*(1+$E$136)</f>
        <v>33800000</v>
      </c>
      <c r="J7" s="218">
        <f>I7*(1+$F$136)</f>
        <v>56885400</v>
      </c>
    </row>
    <row r="8" spans="2:10" x14ac:dyDescent="0.25">
      <c r="C8" s="204" t="s">
        <v>4</v>
      </c>
      <c r="D8" s="43" t="s">
        <v>174</v>
      </c>
      <c r="E8" s="43" t="s">
        <v>179</v>
      </c>
      <c r="F8" s="90" t="s">
        <v>180</v>
      </c>
      <c r="G8" s="44">
        <v>15300000</v>
      </c>
      <c r="H8" s="44">
        <v>10000000</v>
      </c>
      <c r="I8" s="44">
        <f>H8*(1+$E$135)</f>
        <v>10300000</v>
      </c>
      <c r="J8" s="218">
        <f>I8*(1+$F$135)</f>
        <v>10609000</v>
      </c>
    </row>
    <row r="9" spans="2:10" x14ac:dyDescent="0.25">
      <c r="C9" s="204" t="s">
        <v>4</v>
      </c>
      <c r="D9" s="43" t="s">
        <v>174</v>
      </c>
      <c r="E9" s="43" t="s">
        <v>181</v>
      </c>
      <c r="F9" s="90" t="s">
        <v>182</v>
      </c>
      <c r="G9" s="44">
        <v>255603461</v>
      </c>
      <c r="H9" s="44">
        <v>250000000</v>
      </c>
      <c r="I9" s="44">
        <f>H9*(1+$E$135)</f>
        <v>257500000</v>
      </c>
      <c r="J9" s="218">
        <f>I9*(1+$F$135)</f>
        <v>265225000</v>
      </c>
    </row>
    <row r="10" spans="2:10" x14ac:dyDescent="0.25">
      <c r="C10" s="204" t="s">
        <v>4</v>
      </c>
      <c r="D10" s="43" t="s">
        <v>174</v>
      </c>
      <c r="E10" s="43" t="s">
        <v>183</v>
      </c>
      <c r="F10" s="90" t="s">
        <v>184</v>
      </c>
      <c r="G10" s="44">
        <v>54773254</v>
      </c>
      <c r="H10" s="44">
        <v>50000000</v>
      </c>
      <c r="I10" s="44">
        <f>H10*(1+$E$135)</f>
        <v>51500000</v>
      </c>
      <c r="J10" s="218">
        <f>I10*(1+$F$135)</f>
        <v>53045000</v>
      </c>
    </row>
    <row r="11" spans="2:10" x14ac:dyDescent="0.25">
      <c r="C11" s="204" t="s">
        <v>4</v>
      </c>
      <c r="D11" s="45" t="s">
        <v>185</v>
      </c>
      <c r="E11" s="45" t="s">
        <v>186</v>
      </c>
      <c r="F11" s="90" t="s">
        <v>187</v>
      </c>
      <c r="G11" s="44">
        <v>310490550</v>
      </c>
      <c r="H11" s="44">
        <v>260000000</v>
      </c>
      <c r="I11" s="44">
        <f>H11*(1+$E$135)</f>
        <v>267800000</v>
      </c>
      <c r="J11" s="218">
        <f>I11*(1+$F$135)</f>
        <v>275834000</v>
      </c>
    </row>
    <row r="12" spans="2:10" x14ac:dyDescent="0.25">
      <c r="C12" s="204" t="s">
        <v>4</v>
      </c>
      <c r="D12" s="45" t="s">
        <v>185</v>
      </c>
      <c r="E12" s="45" t="s">
        <v>188</v>
      </c>
      <c r="F12" s="90" t="s">
        <v>189</v>
      </c>
      <c r="G12" s="44">
        <v>42500000</v>
      </c>
      <c r="H12" s="44">
        <v>45000000</v>
      </c>
      <c r="I12" s="44">
        <f>H12*(1+$E$135)</f>
        <v>46350000</v>
      </c>
      <c r="J12" s="218">
        <f>I12*(1+$F$135)</f>
        <v>47740500</v>
      </c>
    </row>
    <row r="13" spans="2:10" ht="15.2" customHeight="1" x14ac:dyDescent="0.25">
      <c r="C13" s="204" t="s">
        <v>4</v>
      </c>
      <c r="D13" s="43" t="s">
        <v>190</v>
      </c>
      <c r="E13" s="43" t="s">
        <v>191</v>
      </c>
      <c r="F13" s="90" t="s">
        <v>192</v>
      </c>
      <c r="G13" s="44">
        <v>26400000</v>
      </c>
      <c r="H13" s="44">
        <v>25000000</v>
      </c>
      <c r="I13" s="44">
        <f>H13*(1+$E$136)</f>
        <v>42250000</v>
      </c>
      <c r="J13" s="218">
        <f>I13*(1+$F$136)</f>
        <v>71106750</v>
      </c>
    </row>
    <row r="14" spans="2:10" x14ac:dyDescent="0.25">
      <c r="C14" s="204" t="s">
        <v>4</v>
      </c>
      <c r="D14" s="45" t="s">
        <v>193</v>
      </c>
      <c r="E14" s="45" t="s">
        <v>194</v>
      </c>
      <c r="F14" s="90" t="s">
        <v>195</v>
      </c>
      <c r="G14" s="44">
        <v>184119274</v>
      </c>
      <c r="H14" s="44">
        <v>100000000</v>
      </c>
      <c r="I14" s="44">
        <f>H14*(1+$E$135)</f>
        <v>103000000</v>
      </c>
      <c r="J14" s="218">
        <f>I14*(1+$F$135)</f>
        <v>106090000</v>
      </c>
    </row>
    <row r="15" spans="2:10" x14ac:dyDescent="0.25">
      <c r="C15" s="204" t="s">
        <v>4</v>
      </c>
      <c r="D15" s="45" t="s">
        <v>193</v>
      </c>
      <c r="E15" s="45" t="s">
        <v>196</v>
      </c>
      <c r="F15" s="90" t="s">
        <v>197</v>
      </c>
      <c r="G15" s="44"/>
      <c r="H15" s="44">
        <v>180000000</v>
      </c>
      <c r="I15" s="44">
        <f>H15*(1+$E$135)</f>
        <v>185400000</v>
      </c>
      <c r="J15" s="218">
        <f>I15*(1+$F$135)</f>
        <v>190962000</v>
      </c>
    </row>
    <row r="16" spans="2:10" x14ac:dyDescent="0.25">
      <c r="C16" s="205" t="s">
        <v>170</v>
      </c>
      <c r="D16" s="47" t="s">
        <v>174</v>
      </c>
      <c r="E16" s="47" t="s">
        <v>175</v>
      </c>
      <c r="F16" s="182" t="s">
        <v>176</v>
      </c>
      <c r="G16" s="48">
        <v>21635822</v>
      </c>
      <c r="H16" s="48">
        <v>22000000</v>
      </c>
      <c r="I16" s="48">
        <f>H16*(1+$E$135)</f>
        <v>22660000</v>
      </c>
      <c r="J16" s="219">
        <f>I16*(1+($F$135/2))</f>
        <v>22999899.999999996</v>
      </c>
    </row>
    <row r="17" spans="3:10" x14ac:dyDescent="0.25">
      <c r="C17" s="205" t="s">
        <v>170</v>
      </c>
      <c r="D17" s="47" t="s">
        <v>174</v>
      </c>
      <c r="E17" s="47" t="s">
        <v>177</v>
      </c>
      <c r="F17" s="182" t="s">
        <v>178</v>
      </c>
      <c r="G17" s="48">
        <v>8000000</v>
      </c>
      <c r="H17" s="48">
        <v>10000000</v>
      </c>
      <c r="I17" s="48">
        <f>H17*(1+$E$136)</f>
        <v>16900000</v>
      </c>
      <c r="J17" s="219">
        <f>I17*(1+$F$136)</f>
        <v>28442700</v>
      </c>
    </row>
    <row r="18" spans="3:10" x14ac:dyDescent="0.25">
      <c r="C18" s="205" t="s">
        <v>170</v>
      </c>
      <c r="D18" s="47" t="s">
        <v>174</v>
      </c>
      <c r="E18" s="47" t="s">
        <v>179</v>
      </c>
      <c r="F18" s="182" t="s">
        <v>180</v>
      </c>
      <c r="G18" s="48">
        <v>5400000</v>
      </c>
      <c r="H18" s="48">
        <v>3000000</v>
      </c>
      <c r="I18" s="48">
        <f>H18*(1+$E$135)</f>
        <v>3090000</v>
      </c>
      <c r="J18" s="219">
        <f>I18*(1+$F$135)</f>
        <v>3182700</v>
      </c>
    </row>
    <row r="19" spans="3:10" x14ac:dyDescent="0.25">
      <c r="C19" s="205" t="s">
        <v>170</v>
      </c>
      <c r="D19" s="47" t="s">
        <v>174</v>
      </c>
      <c r="E19" s="47" t="s">
        <v>181</v>
      </c>
      <c r="F19" s="182" t="s">
        <v>182</v>
      </c>
      <c r="G19" s="48">
        <v>98315981</v>
      </c>
      <c r="H19" s="48">
        <v>100000000</v>
      </c>
      <c r="I19" s="48">
        <f>H19*(1+$E$135)</f>
        <v>103000000</v>
      </c>
      <c r="J19" s="219">
        <f>I19*(1+$F$135)</f>
        <v>106090000</v>
      </c>
    </row>
    <row r="20" spans="3:10" x14ac:dyDescent="0.25">
      <c r="C20" s="205" t="s">
        <v>170</v>
      </c>
      <c r="D20" s="47" t="s">
        <v>174</v>
      </c>
      <c r="E20" s="47" t="s">
        <v>183</v>
      </c>
      <c r="F20" s="183" t="s">
        <v>184</v>
      </c>
      <c r="G20" s="48">
        <v>19331737</v>
      </c>
      <c r="H20" s="48">
        <v>17000000</v>
      </c>
      <c r="I20" s="48">
        <f>H20*(1+$E$135)</f>
        <v>17510000</v>
      </c>
      <c r="J20" s="219">
        <f>I20*(1+$F$135)</f>
        <v>18035300</v>
      </c>
    </row>
    <row r="21" spans="3:10" x14ac:dyDescent="0.25">
      <c r="C21" s="205" t="s">
        <v>170</v>
      </c>
      <c r="D21" s="47" t="s">
        <v>185</v>
      </c>
      <c r="E21" s="47" t="s">
        <v>186</v>
      </c>
      <c r="F21" s="182" t="s">
        <v>198</v>
      </c>
      <c r="G21" s="48">
        <v>148750000</v>
      </c>
      <c r="H21" s="48">
        <v>150000000</v>
      </c>
      <c r="I21" s="48">
        <v>150000000</v>
      </c>
      <c r="J21" s="219">
        <v>150000000</v>
      </c>
    </row>
    <row r="22" spans="3:10" ht="16.7" customHeight="1" x14ac:dyDescent="0.25">
      <c r="C22" s="205" t="s">
        <v>170</v>
      </c>
      <c r="D22" s="47" t="s">
        <v>190</v>
      </c>
      <c r="E22" s="47" t="s">
        <v>191</v>
      </c>
      <c r="F22" s="182" t="s">
        <v>192</v>
      </c>
      <c r="G22" s="48">
        <v>8800000</v>
      </c>
      <c r="H22" s="48">
        <v>9000000</v>
      </c>
      <c r="I22" s="48">
        <f>H22*(1+$E$136)</f>
        <v>15210000</v>
      </c>
      <c r="J22" s="219">
        <f>I22*(1+$F$136)</f>
        <v>25598430</v>
      </c>
    </row>
    <row r="23" spans="3:10" x14ac:dyDescent="0.25">
      <c r="C23" s="205" t="s">
        <v>170</v>
      </c>
      <c r="D23" s="49" t="s">
        <v>193</v>
      </c>
      <c r="E23" s="49" t="s">
        <v>196</v>
      </c>
      <c r="F23" s="182" t="s">
        <v>197</v>
      </c>
      <c r="G23" s="48">
        <v>27425113</v>
      </c>
      <c r="H23" s="48">
        <v>30000000</v>
      </c>
      <c r="I23" s="48">
        <f>H23*(1+$E$135)</f>
        <v>30900000</v>
      </c>
      <c r="J23" s="219">
        <f>I23*(1+$F$135)</f>
        <v>31827000</v>
      </c>
    </row>
    <row r="24" spans="3:10" x14ac:dyDescent="0.25">
      <c r="C24" s="206" t="s">
        <v>12</v>
      </c>
      <c r="D24" s="50" t="s">
        <v>174</v>
      </c>
      <c r="E24" s="50" t="s">
        <v>175</v>
      </c>
      <c r="F24" s="184" t="s">
        <v>176</v>
      </c>
      <c r="G24" s="51">
        <v>21635822</v>
      </c>
      <c r="H24" s="51">
        <v>22000000</v>
      </c>
      <c r="I24" s="51">
        <f>H24*(1+($E$136/2))</f>
        <v>29590000</v>
      </c>
      <c r="J24" s="220">
        <f>I24*(1+($F$136/2))</f>
        <v>39694985</v>
      </c>
    </row>
    <row r="25" spans="3:10" x14ac:dyDescent="0.25">
      <c r="C25" s="207" t="s">
        <v>12</v>
      </c>
      <c r="D25" s="52" t="s">
        <v>174</v>
      </c>
      <c r="E25" s="52" t="s">
        <v>177</v>
      </c>
      <c r="F25" s="184" t="s">
        <v>178</v>
      </c>
      <c r="G25" s="51"/>
      <c r="H25" s="51">
        <v>8000000</v>
      </c>
      <c r="I25" s="51">
        <f>H25*(1+$E$136)</f>
        <v>13520000</v>
      </c>
      <c r="J25" s="220">
        <f>I25*(1+$F$136)</f>
        <v>22754160</v>
      </c>
    </row>
    <row r="26" spans="3:10" x14ac:dyDescent="0.25">
      <c r="C26" s="206" t="s">
        <v>12</v>
      </c>
      <c r="D26" s="50" t="s">
        <v>174</v>
      </c>
      <c r="E26" s="50" t="s">
        <v>179</v>
      </c>
      <c r="F26" s="184" t="s">
        <v>180</v>
      </c>
      <c r="G26" s="51">
        <v>5400000</v>
      </c>
      <c r="H26" s="51">
        <v>3000000</v>
      </c>
      <c r="I26" s="51">
        <f>H26*(1+$E$135)</f>
        <v>3090000</v>
      </c>
      <c r="J26" s="220">
        <f>I26*(1+$F$135)</f>
        <v>3182700</v>
      </c>
    </row>
    <row r="27" spans="3:10" x14ac:dyDescent="0.25">
      <c r="C27" s="206" t="s">
        <v>12</v>
      </c>
      <c r="D27" s="50" t="s">
        <v>174</v>
      </c>
      <c r="E27" s="50" t="s">
        <v>181</v>
      </c>
      <c r="F27" s="184" t="s">
        <v>182</v>
      </c>
      <c r="G27" s="51">
        <v>98315981</v>
      </c>
      <c r="H27" s="51">
        <v>80000000</v>
      </c>
      <c r="I27" s="51">
        <f>H27*(1+$E$135)</f>
        <v>82400000</v>
      </c>
      <c r="J27" s="220">
        <f>I27*(1+$F$135)</f>
        <v>84872000</v>
      </c>
    </row>
    <row r="28" spans="3:10" x14ac:dyDescent="0.25">
      <c r="C28" s="206" t="s">
        <v>12</v>
      </c>
      <c r="D28" s="50" t="s">
        <v>174</v>
      </c>
      <c r="E28" s="50" t="s">
        <v>183</v>
      </c>
      <c r="F28" s="185" t="s">
        <v>184</v>
      </c>
      <c r="G28" s="51">
        <v>19331737</v>
      </c>
      <c r="H28" s="51">
        <v>17000000</v>
      </c>
      <c r="I28" s="51">
        <f>H28*(1+$E$135)</f>
        <v>17510000</v>
      </c>
      <c r="J28" s="220">
        <f>I28*(1+$F$135)</f>
        <v>18035300</v>
      </c>
    </row>
    <row r="29" spans="3:10" x14ac:dyDescent="0.25">
      <c r="C29" s="206" t="s">
        <v>12</v>
      </c>
      <c r="D29" s="53" t="s">
        <v>185</v>
      </c>
      <c r="E29" s="53" t="s">
        <v>186</v>
      </c>
      <c r="F29" s="184" t="s">
        <v>199</v>
      </c>
      <c r="G29" s="51">
        <v>2550000</v>
      </c>
      <c r="H29" s="51">
        <v>0</v>
      </c>
      <c r="I29" s="51">
        <f>H29*(1+$E$135)</f>
        <v>0</v>
      </c>
      <c r="J29" s="220">
        <f>I29*(1+$F$135)</f>
        <v>0</v>
      </c>
    </row>
    <row r="30" spans="3:10" ht="14.45" customHeight="1" x14ac:dyDescent="0.25">
      <c r="C30" s="206" t="s">
        <v>12</v>
      </c>
      <c r="D30" s="53" t="s">
        <v>190</v>
      </c>
      <c r="E30" s="53" t="s">
        <v>191</v>
      </c>
      <c r="F30" s="184" t="s">
        <v>200</v>
      </c>
      <c r="G30" s="51">
        <v>8800000</v>
      </c>
      <c r="H30" s="51">
        <v>9000000</v>
      </c>
      <c r="I30" s="51">
        <f>H30*(1+$E$136)</f>
        <v>15210000</v>
      </c>
      <c r="J30" s="220">
        <f>I30*(1+$F$136)</f>
        <v>25598430</v>
      </c>
    </row>
    <row r="31" spans="3:10" x14ac:dyDescent="0.25">
      <c r="C31" s="206" t="s">
        <v>12</v>
      </c>
      <c r="D31" s="50" t="s">
        <v>193</v>
      </c>
      <c r="E31" s="50" t="s">
        <v>196</v>
      </c>
      <c r="F31" s="184" t="s">
        <v>197</v>
      </c>
      <c r="G31" s="51">
        <v>27425113</v>
      </c>
      <c r="H31" s="51">
        <v>30000000</v>
      </c>
      <c r="I31" s="51">
        <f>H31*(1+$E$135)</f>
        <v>30900000</v>
      </c>
      <c r="J31" s="220">
        <f>I31*(1+$F$135)</f>
        <v>31827000</v>
      </c>
    </row>
    <row r="32" spans="3:10" x14ac:dyDescent="0.25">
      <c r="C32" s="208" t="s">
        <v>101</v>
      </c>
      <c r="D32" s="54" t="s">
        <v>174</v>
      </c>
      <c r="E32" s="54" t="s">
        <v>175</v>
      </c>
      <c r="F32" s="17" t="s">
        <v>176</v>
      </c>
      <c r="G32" s="55">
        <v>107501128</v>
      </c>
      <c r="H32" s="55">
        <v>110000000</v>
      </c>
      <c r="I32" s="55">
        <f>H32*(1+($E$136/2))</f>
        <v>147950000</v>
      </c>
      <c r="J32" s="221">
        <f>I32*(1+($F$136/2))</f>
        <v>198474925</v>
      </c>
    </row>
    <row r="33" spans="3:11" x14ac:dyDescent="0.25">
      <c r="C33" s="208" t="s">
        <v>101</v>
      </c>
      <c r="D33" s="54" t="s">
        <v>174</v>
      </c>
      <c r="E33" s="54" t="s">
        <v>177</v>
      </c>
      <c r="F33" s="17" t="s">
        <v>178</v>
      </c>
      <c r="G33" s="55">
        <v>10000000</v>
      </c>
      <c r="H33" s="55">
        <v>20000000</v>
      </c>
      <c r="I33" s="55">
        <f>H33*(1+$E$136)</f>
        <v>33800000</v>
      </c>
      <c r="J33" s="221">
        <f>I33*(1+$F$136)</f>
        <v>56885400</v>
      </c>
      <c r="K33" s="56"/>
    </row>
    <row r="34" spans="3:11" x14ac:dyDescent="0.25">
      <c r="C34" s="208" t="s">
        <v>101</v>
      </c>
      <c r="D34" s="54" t="s">
        <v>174</v>
      </c>
      <c r="E34" s="54" t="s">
        <v>179</v>
      </c>
      <c r="F34" s="17" t="s">
        <v>180</v>
      </c>
      <c r="G34" s="55">
        <v>15300000</v>
      </c>
      <c r="H34" s="55">
        <v>10000000</v>
      </c>
      <c r="I34" s="55">
        <f t="shared" ref="I34:I43" si="0">H34*(1+$E$135)</f>
        <v>10300000</v>
      </c>
      <c r="J34" s="221">
        <f>I34*(1+$F$137)</f>
        <v>13329230</v>
      </c>
    </row>
    <row r="35" spans="3:11" x14ac:dyDescent="0.25">
      <c r="C35" s="209" t="s">
        <v>101</v>
      </c>
      <c r="D35" s="54" t="s">
        <v>174</v>
      </c>
      <c r="E35" s="54" t="s">
        <v>181</v>
      </c>
      <c r="F35" s="17" t="s">
        <v>182</v>
      </c>
      <c r="G35" s="55">
        <v>297148087</v>
      </c>
      <c r="H35" s="55">
        <v>300000000</v>
      </c>
      <c r="I35" s="55">
        <f t="shared" si="0"/>
        <v>309000000</v>
      </c>
      <c r="J35" s="221">
        <f>I35*(1+$F$137)</f>
        <v>399876900</v>
      </c>
    </row>
    <row r="36" spans="3:11" x14ac:dyDescent="0.25">
      <c r="C36" s="208" t="s">
        <v>101</v>
      </c>
      <c r="D36" s="54" t="s">
        <v>174</v>
      </c>
      <c r="E36" s="54" t="s">
        <v>183</v>
      </c>
      <c r="F36" s="186" t="s">
        <v>184</v>
      </c>
      <c r="G36" s="55">
        <v>54773254</v>
      </c>
      <c r="H36" s="55">
        <v>47000000</v>
      </c>
      <c r="I36" s="55">
        <f t="shared" si="0"/>
        <v>48410000</v>
      </c>
      <c r="J36" s="221">
        <f>I36*(1+$F$137)</f>
        <v>62647381</v>
      </c>
    </row>
    <row r="37" spans="3:11" x14ac:dyDescent="0.25">
      <c r="C37" s="208" t="s">
        <v>101</v>
      </c>
      <c r="D37" s="57" t="s">
        <v>185</v>
      </c>
      <c r="E37" s="57" t="s">
        <v>186</v>
      </c>
      <c r="F37" s="17" t="s">
        <v>201</v>
      </c>
      <c r="G37" s="55">
        <v>151634050</v>
      </c>
      <c r="H37" s="55">
        <v>150000000</v>
      </c>
      <c r="I37" s="55">
        <f t="shared" si="0"/>
        <v>154500000</v>
      </c>
      <c r="J37" s="221">
        <f>I37*(1+$F$135)</f>
        <v>159135000</v>
      </c>
    </row>
    <row r="38" spans="3:11" x14ac:dyDescent="0.25">
      <c r="C38" s="208" t="s">
        <v>101</v>
      </c>
      <c r="D38" s="57" t="s">
        <v>185</v>
      </c>
      <c r="E38" s="57" t="s">
        <v>186</v>
      </c>
      <c r="F38" s="17" t="s">
        <v>202</v>
      </c>
      <c r="G38" s="55">
        <v>8500000</v>
      </c>
      <c r="H38" s="55">
        <v>9000000</v>
      </c>
      <c r="I38" s="55">
        <f t="shared" si="0"/>
        <v>9270000</v>
      </c>
      <c r="J38" s="221">
        <f>I38*(1+$F$135)</f>
        <v>9548100</v>
      </c>
    </row>
    <row r="39" spans="3:11" x14ac:dyDescent="0.25">
      <c r="C39" s="208" t="s">
        <v>101</v>
      </c>
      <c r="D39" s="57" t="s">
        <v>185</v>
      </c>
      <c r="E39" s="57" t="s">
        <v>188</v>
      </c>
      <c r="F39" s="17" t="s">
        <v>203</v>
      </c>
      <c r="G39" s="55">
        <v>70000000</v>
      </c>
      <c r="H39" s="55">
        <v>70000000</v>
      </c>
      <c r="I39" s="55">
        <f t="shared" si="0"/>
        <v>72100000</v>
      </c>
      <c r="J39" s="221">
        <f>I39*(1+$F$137)</f>
        <v>93304610</v>
      </c>
    </row>
    <row r="40" spans="3:11" x14ac:dyDescent="0.25">
      <c r="C40" s="208" t="s">
        <v>101</v>
      </c>
      <c r="D40" s="57" t="s">
        <v>185</v>
      </c>
      <c r="E40" s="57" t="s">
        <v>181</v>
      </c>
      <c r="F40" s="17" t="s">
        <v>204</v>
      </c>
      <c r="G40" s="55">
        <v>8500000</v>
      </c>
      <c r="H40" s="55">
        <v>9000000</v>
      </c>
      <c r="I40" s="55">
        <f t="shared" si="0"/>
        <v>9270000</v>
      </c>
      <c r="J40" s="221">
        <f>I40*(1+$F$137)</f>
        <v>11996307</v>
      </c>
    </row>
    <row r="41" spans="3:11" x14ac:dyDescent="0.25">
      <c r="C41" s="208" t="s">
        <v>101</v>
      </c>
      <c r="D41" s="57" t="s">
        <v>185</v>
      </c>
      <c r="E41" s="57" t="s">
        <v>186</v>
      </c>
      <c r="F41" s="17" t="s">
        <v>205</v>
      </c>
      <c r="G41" s="55">
        <v>25500000</v>
      </c>
      <c r="H41" s="55">
        <v>26000000</v>
      </c>
      <c r="I41" s="55">
        <f t="shared" si="0"/>
        <v>26780000</v>
      </c>
      <c r="J41" s="221">
        <f>I41*(1+$F$137)</f>
        <v>34655998</v>
      </c>
    </row>
    <row r="42" spans="3:11" x14ac:dyDescent="0.25">
      <c r="C42" s="209" t="s">
        <v>101</v>
      </c>
      <c r="D42" s="57" t="s">
        <v>185</v>
      </c>
      <c r="E42" s="57" t="s">
        <v>186</v>
      </c>
      <c r="F42" s="17" t="s">
        <v>206</v>
      </c>
      <c r="G42" s="55"/>
      <c r="H42" s="55">
        <v>10000000</v>
      </c>
      <c r="I42" s="55">
        <f t="shared" si="0"/>
        <v>10300000</v>
      </c>
      <c r="J42" s="221">
        <f>I42*(1+$F$135)</f>
        <v>10609000</v>
      </c>
    </row>
    <row r="43" spans="3:11" x14ac:dyDescent="0.25">
      <c r="C43" s="209" t="s">
        <v>101</v>
      </c>
      <c r="D43" s="57" t="s">
        <v>185</v>
      </c>
      <c r="E43" s="57" t="s">
        <v>181</v>
      </c>
      <c r="F43" s="17" t="s">
        <v>207</v>
      </c>
      <c r="G43" s="55"/>
      <c r="H43" s="55">
        <v>40000000</v>
      </c>
      <c r="I43" s="55">
        <f t="shared" si="0"/>
        <v>41200000</v>
      </c>
      <c r="J43" s="221">
        <f>I43*(1+$F$137)</f>
        <v>53316920</v>
      </c>
    </row>
    <row r="44" spans="3:11" ht="15.2" customHeight="1" x14ac:dyDescent="0.25">
      <c r="C44" s="208" t="s">
        <v>101</v>
      </c>
      <c r="D44" s="54" t="s">
        <v>190</v>
      </c>
      <c r="E44" s="54" t="s">
        <v>191</v>
      </c>
      <c r="F44" s="17" t="s">
        <v>192</v>
      </c>
      <c r="G44" s="55">
        <v>29435857</v>
      </c>
      <c r="H44" s="55">
        <v>40000000</v>
      </c>
      <c r="I44" s="55">
        <f>H44*(1+$E$136)</f>
        <v>67600000</v>
      </c>
      <c r="J44" s="221">
        <f>I44*(1+$F$136)</f>
        <v>113770800</v>
      </c>
    </row>
    <row r="45" spans="3:11" x14ac:dyDescent="0.25">
      <c r="C45" s="208" t="s">
        <v>101</v>
      </c>
      <c r="D45" s="57" t="s">
        <v>193</v>
      </c>
      <c r="E45" s="57" t="s">
        <v>194</v>
      </c>
      <c r="F45" s="17" t="s">
        <v>195</v>
      </c>
      <c r="G45" s="55">
        <v>222959550</v>
      </c>
      <c r="H45" s="55">
        <v>100000000</v>
      </c>
      <c r="I45" s="55">
        <f>H45*(1+$E$135)</f>
        <v>103000000</v>
      </c>
      <c r="J45" s="221">
        <f>I45*(1+$F$137)</f>
        <v>133292300</v>
      </c>
    </row>
    <row r="46" spans="3:11" x14ac:dyDescent="0.25">
      <c r="C46" s="209" t="s">
        <v>101</v>
      </c>
      <c r="D46" s="59" t="s">
        <v>193</v>
      </c>
      <c r="E46" s="59" t="s">
        <v>196</v>
      </c>
      <c r="F46" s="17" t="s">
        <v>197</v>
      </c>
      <c r="G46" s="55"/>
      <c r="H46" s="55">
        <v>200000000</v>
      </c>
      <c r="I46" s="55">
        <f>H46*(1+$E$135)</f>
        <v>206000000</v>
      </c>
      <c r="J46" s="221">
        <f>I46*(1+$F$137)</f>
        <v>266584600</v>
      </c>
    </row>
    <row r="47" spans="3:11" x14ac:dyDescent="0.25">
      <c r="C47" s="210" t="s">
        <v>7</v>
      </c>
      <c r="D47" s="75" t="s">
        <v>174</v>
      </c>
      <c r="E47" s="75" t="s">
        <v>175</v>
      </c>
      <c r="F47" s="187" t="s">
        <v>176</v>
      </c>
      <c r="G47" s="76">
        <v>51863100</v>
      </c>
      <c r="H47" s="76">
        <v>52000000</v>
      </c>
      <c r="I47" s="76">
        <f>H47*(1+($E$136/2))</f>
        <v>69940000</v>
      </c>
      <c r="J47" s="222">
        <f>I47*(1+($F$136/2))</f>
        <v>93824510</v>
      </c>
    </row>
    <row r="48" spans="3:11" x14ac:dyDescent="0.25">
      <c r="C48" s="211" t="s">
        <v>7</v>
      </c>
      <c r="D48" s="77" t="s">
        <v>174</v>
      </c>
      <c r="E48" s="77" t="s">
        <v>177</v>
      </c>
      <c r="F48" s="187" t="s">
        <v>178</v>
      </c>
      <c r="G48" s="76">
        <v>0</v>
      </c>
      <c r="H48" s="76">
        <v>20000000</v>
      </c>
      <c r="I48" s="76">
        <f>H48*(1+$E$136)</f>
        <v>33800000</v>
      </c>
      <c r="J48" s="222">
        <f>I48*(1+$F$136)</f>
        <v>56885400</v>
      </c>
    </row>
    <row r="49" spans="3:10" x14ac:dyDescent="0.25">
      <c r="C49" s="210" t="s">
        <v>7</v>
      </c>
      <c r="D49" s="75" t="s">
        <v>174</v>
      </c>
      <c r="E49" s="75" t="s">
        <v>181</v>
      </c>
      <c r="F49" s="187" t="s">
        <v>182</v>
      </c>
      <c r="G49" s="76">
        <v>118444913</v>
      </c>
      <c r="H49" s="76">
        <v>120000000</v>
      </c>
      <c r="I49" s="76">
        <f t="shared" ref="I49:I54" si="1">H49*(1+$E$135)</f>
        <v>123600000</v>
      </c>
      <c r="J49" s="222">
        <f t="shared" ref="J49:J54" si="2">I49*(1+$F$135)</f>
        <v>127308000</v>
      </c>
    </row>
    <row r="50" spans="3:10" x14ac:dyDescent="0.25">
      <c r="C50" s="210" t="s">
        <v>7</v>
      </c>
      <c r="D50" s="75" t="s">
        <v>174</v>
      </c>
      <c r="E50" s="75" t="s">
        <v>179</v>
      </c>
      <c r="F50" s="187" t="s">
        <v>180</v>
      </c>
      <c r="G50" s="76">
        <v>8100000</v>
      </c>
      <c r="H50" s="76">
        <v>4000000</v>
      </c>
      <c r="I50" s="76">
        <f t="shared" si="1"/>
        <v>4120000</v>
      </c>
      <c r="J50" s="222">
        <f t="shared" si="2"/>
        <v>4243600</v>
      </c>
    </row>
    <row r="51" spans="3:10" x14ac:dyDescent="0.25">
      <c r="C51" s="210" t="s">
        <v>7</v>
      </c>
      <c r="D51" s="75" t="s">
        <v>174</v>
      </c>
      <c r="E51" s="75" t="s">
        <v>183</v>
      </c>
      <c r="F51" s="188" t="s">
        <v>184</v>
      </c>
      <c r="G51" s="76">
        <v>28997605</v>
      </c>
      <c r="H51" s="76">
        <v>25000000</v>
      </c>
      <c r="I51" s="76">
        <f t="shared" si="1"/>
        <v>25750000</v>
      </c>
      <c r="J51" s="222">
        <f t="shared" si="2"/>
        <v>26522500</v>
      </c>
    </row>
    <row r="52" spans="3:10" x14ac:dyDescent="0.25">
      <c r="C52" s="210" t="s">
        <v>7</v>
      </c>
      <c r="D52" s="75" t="s">
        <v>185</v>
      </c>
      <c r="E52" s="75" t="s">
        <v>186</v>
      </c>
      <c r="F52" s="187" t="s">
        <v>208</v>
      </c>
      <c r="G52" s="76">
        <v>212267100</v>
      </c>
      <c r="H52" s="76">
        <v>220000000</v>
      </c>
      <c r="I52" s="76">
        <f t="shared" si="1"/>
        <v>226600000</v>
      </c>
      <c r="J52" s="222">
        <f t="shared" si="2"/>
        <v>233398000</v>
      </c>
    </row>
    <row r="53" spans="3:10" x14ac:dyDescent="0.25">
      <c r="C53" s="210" t="s">
        <v>7</v>
      </c>
      <c r="D53" s="75" t="s">
        <v>185</v>
      </c>
      <c r="E53" s="75" t="s">
        <v>148</v>
      </c>
      <c r="F53" s="187" t="s">
        <v>209</v>
      </c>
      <c r="G53" s="76">
        <v>3655850</v>
      </c>
      <c r="H53" s="76">
        <v>4000000</v>
      </c>
      <c r="I53" s="76">
        <f t="shared" si="1"/>
        <v>4120000</v>
      </c>
      <c r="J53" s="222">
        <f t="shared" si="2"/>
        <v>4243600</v>
      </c>
    </row>
    <row r="54" spans="3:10" x14ac:dyDescent="0.25">
      <c r="C54" s="210" t="s">
        <v>7</v>
      </c>
      <c r="D54" s="75" t="s">
        <v>185</v>
      </c>
      <c r="E54" s="75" t="s">
        <v>188</v>
      </c>
      <c r="F54" s="187" t="s">
        <v>210</v>
      </c>
      <c r="G54" s="76">
        <v>21250000</v>
      </c>
      <c r="H54" s="76">
        <v>25000000</v>
      </c>
      <c r="I54" s="76">
        <f t="shared" si="1"/>
        <v>25750000</v>
      </c>
      <c r="J54" s="222">
        <f t="shared" si="2"/>
        <v>26522500</v>
      </c>
    </row>
    <row r="55" spans="3:10" ht="12.95" customHeight="1" x14ac:dyDescent="0.25">
      <c r="C55" s="210" t="s">
        <v>7</v>
      </c>
      <c r="D55" s="78" t="s">
        <v>190</v>
      </c>
      <c r="E55" s="78" t="s">
        <v>191</v>
      </c>
      <c r="F55" s="187" t="s">
        <v>200</v>
      </c>
      <c r="G55" s="76">
        <v>18875857</v>
      </c>
      <c r="H55" s="76">
        <v>20000000</v>
      </c>
      <c r="I55" s="76">
        <f>H55*(1+$E$136)</f>
        <v>33800000</v>
      </c>
      <c r="J55" s="222">
        <f>I55*(1+$F$136)</f>
        <v>56885400</v>
      </c>
    </row>
    <row r="56" spans="3:10" x14ac:dyDescent="0.25">
      <c r="C56" s="210" t="s">
        <v>7</v>
      </c>
      <c r="D56" s="75" t="s">
        <v>193</v>
      </c>
      <c r="E56" s="75" t="s">
        <v>194</v>
      </c>
      <c r="F56" s="189" t="s">
        <v>195</v>
      </c>
      <c r="G56" s="76">
        <v>76810105</v>
      </c>
      <c r="H56" s="76">
        <v>60000000</v>
      </c>
      <c r="I56" s="76">
        <f>H56*(1+$E$135)</f>
        <v>61800000</v>
      </c>
      <c r="J56" s="222">
        <f>I56*(1+$F$135)</f>
        <v>63654000</v>
      </c>
    </row>
    <row r="57" spans="3:10" x14ac:dyDescent="0.25">
      <c r="C57" s="210" t="s">
        <v>7</v>
      </c>
      <c r="D57" s="75" t="s">
        <v>193</v>
      </c>
      <c r="E57" s="75" t="s">
        <v>196</v>
      </c>
      <c r="F57" s="189" t="s">
        <v>197</v>
      </c>
      <c r="G57" s="76"/>
      <c r="H57" s="76">
        <v>75000000</v>
      </c>
      <c r="I57" s="76">
        <f>H57*(1+$E$135)</f>
        <v>77250000</v>
      </c>
      <c r="J57" s="222">
        <f>I57*(1+$F$135)</f>
        <v>79567500</v>
      </c>
    </row>
    <row r="58" spans="3:10" x14ac:dyDescent="0.25">
      <c r="C58" s="212" t="s">
        <v>9</v>
      </c>
      <c r="D58" s="71" t="s">
        <v>174</v>
      </c>
      <c r="E58" s="71" t="s">
        <v>175</v>
      </c>
      <c r="F58" s="190" t="s">
        <v>176</v>
      </c>
      <c r="G58" s="72">
        <v>34575400</v>
      </c>
      <c r="H58" s="72">
        <v>35000000</v>
      </c>
      <c r="I58" s="72">
        <f>H58*(1+($E$136/2))</f>
        <v>47075000</v>
      </c>
      <c r="J58" s="223">
        <f>I58*(1+($F$136/2))</f>
        <v>63151112.499999993</v>
      </c>
    </row>
    <row r="59" spans="3:10" x14ac:dyDescent="0.25">
      <c r="C59" s="212" t="s">
        <v>9</v>
      </c>
      <c r="D59" s="71" t="s">
        <v>174</v>
      </c>
      <c r="E59" s="71" t="s">
        <v>186</v>
      </c>
      <c r="F59" s="190" t="s">
        <v>211</v>
      </c>
      <c r="G59" s="72"/>
      <c r="H59" s="72">
        <v>60000000</v>
      </c>
      <c r="I59" s="72">
        <f>H59*(1+$E$135)</f>
        <v>61800000</v>
      </c>
      <c r="J59" s="223">
        <f>I59*(1+$F$135)</f>
        <v>63654000</v>
      </c>
    </row>
    <row r="60" spans="3:10" x14ac:dyDescent="0.25">
      <c r="C60" s="212" t="s">
        <v>9</v>
      </c>
      <c r="D60" s="71" t="s">
        <v>174</v>
      </c>
      <c r="E60" s="71" t="s">
        <v>177</v>
      </c>
      <c r="F60" s="190" t="s">
        <v>178</v>
      </c>
      <c r="G60" s="72"/>
      <c r="H60" s="72">
        <v>20000000</v>
      </c>
      <c r="I60" s="72">
        <f>H60*(1+$E$136)</f>
        <v>33800000</v>
      </c>
      <c r="J60" s="223">
        <f>I60*(1+$F$136)</f>
        <v>56885400</v>
      </c>
    </row>
    <row r="61" spans="3:10" x14ac:dyDescent="0.25">
      <c r="C61" s="212" t="s">
        <v>9</v>
      </c>
      <c r="D61" s="71" t="s">
        <v>174</v>
      </c>
      <c r="E61" s="71" t="s">
        <v>181</v>
      </c>
      <c r="F61" s="190" t="s">
        <v>182</v>
      </c>
      <c r="G61" s="72">
        <v>118444913</v>
      </c>
      <c r="H61" s="72">
        <v>120000000</v>
      </c>
      <c r="I61" s="72">
        <f>H61*(1+$E$135)</f>
        <v>123600000</v>
      </c>
      <c r="J61" s="223">
        <f>I61*(1+$F$137)</f>
        <v>159950760</v>
      </c>
    </row>
    <row r="62" spans="3:10" x14ac:dyDescent="0.25">
      <c r="C62" s="212" t="s">
        <v>9</v>
      </c>
      <c r="D62" s="71" t="s">
        <v>174</v>
      </c>
      <c r="E62" s="71" t="s">
        <v>179</v>
      </c>
      <c r="F62" s="190" t="s">
        <v>180</v>
      </c>
      <c r="G62" s="72">
        <v>6300000</v>
      </c>
      <c r="H62" s="72">
        <v>4000000</v>
      </c>
      <c r="I62" s="72">
        <f>H62*(1+$E$135)</f>
        <v>4120000</v>
      </c>
      <c r="J62" s="223">
        <f>I62*(1+$F$137)</f>
        <v>5331692</v>
      </c>
    </row>
    <row r="63" spans="3:10" x14ac:dyDescent="0.25">
      <c r="C63" s="212" t="s">
        <v>9</v>
      </c>
      <c r="D63" s="71" t="s">
        <v>174</v>
      </c>
      <c r="E63" s="71" t="s">
        <v>183</v>
      </c>
      <c r="F63" s="191" t="s">
        <v>184</v>
      </c>
      <c r="G63" s="72">
        <v>22553693</v>
      </c>
      <c r="H63" s="72">
        <v>22000000</v>
      </c>
      <c r="I63" s="72">
        <f>H63*(1+$E$135)</f>
        <v>22660000</v>
      </c>
      <c r="J63" s="223">
        <f>I63*(1+$F$137)</f>
        <v>29324306</v>
      </c>
    </row>
    <row r="64" spans="3:10" x14ac:dyDescent="0.25">
      <c r="C64" s="212" t="s">
        <v>9</v>
      </c>
      <c r="D64" s="73" t="s">
        <v>185</v>
      </c>
      <c r="E64" s="73" t="s">
        <v>188</v>
      </c>
      <c r="F64" s="190" t="s">
        <v>210</v>
      </c>
      <c r="G64" s="72">
        <v>21250000</v>
      </c>
      <c r="H64" s="72">
        <v>25000000</v>
      </c>
      <c r="I64" s="72">
        <f>H64*(1+$E$135)</f>
        <v>25750000</v>
      </c>
      <c r="J64" s="223">
        <f>I64*(1+$F$137)</f>
        <v>33323075</v>
      </c>
    </row>
    <row r="65" spans="3:10" x14ac:dyDescent="0.25">
      <c r="C65" s="212" t="s">
        <v>9</v>
      </c>
      <c r="D65" s="73" t="s">
        <v>185</v>
      </c>
      <c r="E65" s="73" t="s">
        <v>212</v>
      </c>
      <c r="F65" s="190" t="s">
        <v>213</v>
      </c>
      <c r="G65" s="72">
        <v>1350000</v>
      </c>
      <c r="H65" s="72">
        <v>10000000</v>
      </c>
      <c r="I65" s="72">
        <f>H65*(1+$E$135)</f>
        <v>10300000</v>
      </c>
      <c r="J65" s="223">
        <f>I65*(1+$F$135)</f>
        <v>10609000</v>
      </c>
    </row>
    <row r="66" spans="3:10" x14ac:dyDescent="0.25">
      <c r="C66" s="212" t="s">
        <v>9</v>
      </c>
      <c r="D66" s="74" t="s">
        <v>190</v>
      </c>
      <c r="E66" s="74" t="s">
        <v>191</v>
      </c>
      <c r="F66" s="190" t="s">
        <v>200</v>
      </c>
      <c r="G66" s="72">
        <v>14035857</v>
      </c>
      <c r="H66" s="72">
        <v>20000000</v>
      </c>
      <c r="I66" s="72">
        <f>H66*(1+$E$136)</f>
        <v>33800000</v>
      </c>
      <c r="J66" s="223">
        <f>I66*(1+$F$136)</f>
        <v>56885400</v>
      </c>
    </row>
    <row r="67" spans="3:10" x14ac:dyDescent="0.25">
      <c r="C67" s="212" t="s">
        <v>9</v>
      </c>
      <c r="D67" s="71" t="s">
        <v>193</v>
      </c>
      <c r="E67" s="71" t="s">
        <v>194</v>
      </c>
      <c r="F67" s="192" t="s">
        <v>195</v>
      </c>
      <c r="G67" s="72">
        <v>70366193</v>
      </c>
      <c r="H67" s="72">
        <v>60000000</v>
      </c>
      <c r="I67" s="72">
        <f>H67*(1+$E$135)</f>
        <v>61800000</v>
      </c>
      <c r="J67" s="223">
        <f>I67*(1+$F$137)</f>
        <v>79975380</v>
      </c>
    </row>
    <row r="68" spans="3:10" x14ac:dyDescent="0.25">
      <c r="C68" s="212" t="s">
        <v>9</v>
      </c>
      <c r="D68" s="71" t="s">
        <v>193</v>
      </c>
      <c r="E68" s="71" t="s">
        <v>196</v>
      </c>
      <c r="F68" s="192" t="s">
        <v>197</v>
      </c>
      <c r="G68" s="72"/>
      <c r="H68" s="72">
        <v>80000000</v>
      </c>
      <c r="I68" s="72">
        <f>H68*(1+$E$135)</f>
        <v>82400000</v>
      </c>
      <c r="J68" s="223">
        <f>I68*(1+$F$137)</f>
        <v>106633840</v>
      </c>
    </row>
    <row r="69" spans="3:10" x14ac:dyDescent="0.25">
      <c r="C69" s="213" t="s">
        <v>8</v>
      </c>
      <c r="D69" s="79" t="s">
        <v>174</v>
      </c>
      <c r="E69" s="79" t="s">
        <v>175</v>
      </c>
      <c r="F69" s="193" t="s">
        <v>176</v>
      </c>
      <c r="G69" s="80">
        <v>51863100</v>
      </c>
      <c r="H69" s="80">
        <v>50000000</v>
      </c>
      <c r="I69" s="80">
        <f>H69*(1+($E$136/2))</f>
        <v>67250000</v>
      </c>
      <c r="J69" s="224">
        <f>I69*(1+($F$136/2))</f>
        <v>90215875</v>
      </c>
    </row>
    <row r="70" spans="3:10" x14ac:dyDescent="0.25">
      <c r="C70" s="213" t="s">
        <v>8</v>
      </c>
      <c r="D70" s="79" t="s">
        <v>174</v>
      </c>
      <c r="E70" s="79" t="s">
        <v>177</v>
      </c>
      <c r="F70" s="193" t="s">
        <v>178</v>
      </c>
      <c r="G70" s="80"/>
      <c r="H70" s="80">
        <v>20000000</v>
      </c>
      <c r="I70" s="80">
        <f>H70*(1+$E$136)</f>
        <v>33800000</v>
      </c>
      <c r="J70" s="224">
        <f>I70*(1+$F$136)</f>
        <v>56885400</v>
      </c>
    </row>
    <row r="71" spans="3:10" x14ac:dyDescent="0.25">
      <c r="C71" s="213" t="s">
        <v>8</v>
      </c>
      <c r="D71" s="79" t="s">
        <v>174</v>
      </c>
      <c r="E71" s="79" t="s">
        <v>181</v>
      </c>
      <c r="F71" s="193" t="s">
        <v>182</v>
      </c>
      <c r="G71" s="80">
        <v>118444913</v>
      </c>
      <c r="H71" s="80">
        <v>120000000</v>
      </c>
      <c r="I71" s="80">
        <f t="shared" ref="I71:I76" si="3">H71*(1+$E$135)</f>
        <v>123600000</v>
      </c>
      <c r="J71" s="224">
        <f t="shared" ref="J71:J76" si="4">I71*(1+$F$135)</f>
        <v>127308000</v>
      </c>
    </row>
    <row r="72" spans="3:10" x14ac:dyDescent="0.25">
      <c r="C72" s="213" t="s">
        <v>8</v>
      </c>
      <c r="D72" s="79" t="s">
        <v>174</v>
      </c>
      <c r="E72" s="79" t="s">
        <v>179</v>
      </c>
      <c r="F72" s="193" t="s">
        <v>180</v>
      </c>
      <c r="G72" s="80">
        <v>6750000</v>
      </c>
      <c r="H72" s="80">
        <v>4000000</v>
      </c>
      <c r="I72" s="80">
        <f t="shared" si="3"/>
        <v>4120000</v>
      </c>
      <c r="J72" s="224">
        <f t="shared" si="4"/>
        <v>4243600</v>
      </c>
    </row>
    <row r="73" spans="3:10" x14ac:dyDescent="0.25">
      <c r="C73" s="213" t="s">
        <v>8</v>
      </c>
      <c r="D73" s="79" t="s">
        <v>174</v>
      </c>
      <c r="E73" s="79" t="s">
        <v>183</v>
      </c>
      <c r="F73" s="194" t="s">
        <v>184</v>
      </c>
      <c r="G73" s="80">
        <v>24164671</v>
      </c>
      <c r="H73" s="80">
        <v>23000000</v>
      </c>
      <c r="I73" s="80">
        <f t="shared" si="3"/>
        <v>23690000</v>
      </c>
      <c r="J73" s="224">
        <f t="shared" si="4"/>
        <v>24400700</v>
      </c>
    </row>
    <row r="74" spans="3:10" x14ac:dyDescent="0.25">
      <c r="C74" s="213" t="s">
        <v>8</v>
      </c>
      <c r="D74" s="79" t="s">
        <v>185</v>
      </c>
      <c r="E74" s="79" t="s">
        <v>186</v>
      </c>
      <c r="F74" s="193" t="s">
        <v>214</v>
      </c>
      <c r="G74" s="80">
        <v>5100000</v>
      </c>
      <c r="H74" s="80">
        <v>10000000</v>
      </c>
      <c r="I74" s="80">
        <f t="shared" si="3"/>
        <v>10300000</v>
      </c>
      <c r="J74" s="224">
        <f t="shared" si="4"/>
        <v>10609000</v>
      </c>
    </row>
    <row r="75" spans="3:10" x14ac:dyDescent="0.25">
      <c r="C75" s="213" t="s">
        <v>8</v>
      </c>
      <c r="D75" s="79" t="s">
        <v>185</v>
      </c>
      <c r="E75" s="79" t="s">
        <v>188</v>
      </c>
      <c r="F75" s="193" t="s">
        <v>210</v>
      </c>
      <c r="G75" s="80">
        <v>21250000</v>
      </c>
      <c r="H75" s="80">
        <v>25000000</v>
      </c>
      <c r="I75" s="80">
        <f t="shared" si="3"/>
        <v>25750000</v>
      </c>
      <c r="J75" s="224">
        <f t="shared" si="4"/>
        <v>26522500</v>
      </c>
    </row>
    <row r="76" spans="3:10" x14ac:dyDescent="0.25">
      <c r="C76" s="213" t="s">
        <v>8</v>
      </c>
      <c r="D76" s="79" t="s">
        <v>185</v>
      </c>
      <c r="E76" s="79" t="s">
        <v>186</v>
      </c>
      <c r="F76" s="193" t="s">
        <v>215</v>
      </c>
      <c r="G76" s="80">
        <v>161500000</v>
      </c>
      <c r="H76" s="80">
        <v>150000000</v>
      </c>
      <c r="I76" s="80">
        <f t="shared" si="3"/>
        <v>154500000</v>
      </c>
      <c r="J76" s="224">
        <f t="shared" si="4"/>
        <v>159135000</v>
      </c>
    </row>
    <row r="77" spans="3:10" ht="14.45" customHeight="1" x14ac:dyDescent="0.25">
      <c r="C77" s="213" t="s">
        <v>8</v>
      </c>
      <c r="D77" s="81" t="s">
        <v>190</v>
      </c>
      <c r="E77" s="81" t="s">
        <v>191</v>
      </c>
      <c r="F77" s="193" t="s">
        <v>200</v>
      </c>
      <c r="G77" s="80">
        <v>14915857</v>
      </c>
      <c r="H77" s="80">
        <v>20000000</v>
      </c>
      <c r="I77" s="80">
        <f>H77*(1+$E$136)</f>
        <v>33800000</v>
      </c>
      <c r="J77" s="224">
        <f>I77*(1+$F$136)</f>
        <v>56885400</v>
      </c>
    </row>
    <row r="78" spans="3:10" x14ac:dyDescent="0.25">
      <c r="C78" s="213" t="s">
        <v>8</v>
      </c>
      <c r="D78" s="79" t="s">
        <v>193</v>
      </c>
      <c r="E78" s="79" t="s">
        <v>194</v>
      </c>
      <c r="F78" s="195" t="s">
        <v>216</v>
      </c>
      <c r="G78" s="80">
        <v>71977171</v>
      </c>
      <c r="H78" s="80">
        <v>60000000</v>
      </c>
      <c r="I78" s="80">
        <f>H78*(1+$E$135)</f>
        <v>61800000</v>
      </c>
      <c r="J78" s="224">
        <f>I78*(1+$F$135)</f>
        <v>63654000</v>
      </c>
    </row>
    <row r="79" spans="3:10" x14ac:dyDescent="0.25">
      <c r="C79" s="213" t="s">
        <v>8</v>
      </c>
      <c r="D79" s="79" t="s">
        <v>193</v>
      </c>
      <c r="E79" s="79" t="s">
        <v>196</v>
      </c>
      <c r="F79" s="195" t="s">
        <v>197</v>
      </c>
      <c r="G79" s="80"/>
      <c r="H79" s="80">
        <v>75000000</v>
      </c>
      <c r="I79" s="80">
        <f>H79*(1+$E$135)</f>
        <v>77250000</v>
      </c>
      <c r="J79" s="224">
        <f>I79*(1+$F$135)</f>
        <v>79567500</v>
      </c>
    </row>
    <row r="80" spans="3:10" x14ac:dyDescent="0.25">
      <c r="C80" s="214" t="s">
        <v>10</v>
      </c>
      <c r="D80" s="60" t="s">
        <v>174</v>
      </c>
      <c r="E80" s="60" t="s">
        <v>175</v>
      </c>
      <c r="F80" s="196" t="s">
        <v>176</v>
      </c>
      <c r="G80" s="61">
        <v>34575400</v>
      </c>
      <c r="H80" s="61">
        <v>35000000</v>
      </c>
      <c r="I80" s="82">
        <f>H80*(1+($E$136/2))</f>
        <v>47075000</v>
      </c>
      <c r="J80" s="225">
        <f>I80*(1+($F$136/2))</f>
        <v>63151112.499999993</v>
      </c>
    </row>
    <row r="81" spans="3:10" x14ac:dyDescent="0.25">
      <c r="C81" s="214" t="s">
        <v>10</v>
      </c>
      <c r="D81" s="60" t="s">
        <v>174</v>
      </c>
      <c r="E81" s="60" t="s">
        <v>177</v>
      </c>
      <c r="F81" s="196" t="s">
        <v>178</v>
      </c>
      <c r="G81" s="61"/>
      <c r="H81" s="61">
        <v>20000000</v>
      </c>
      <c r="I81" s="82">
        <f>H81*(1+$E$136)</f>
        <v>33800000</v>
      </c>
      <c r="J81" s="225">
        <f>I81*(1+$F$136)</f>
        <v>56885400</v>
      </c>
    </row>
    <row r="82" spans="3:10" x14ac:dyDescent="0.25">
      <c r="C82" s="214" t="s">
        <v>10</v>
      </c>
      <c r="D82" s="60" t="s">
        <v>174</v>
      </c>
      <c r="E82" s="60" t="s">
        <v>181</v>
      </c>
      <c r="F82" s="196" t="s">
        <v>182</v>
      </c>
      <c r="G82" s="61">
        <v>118444913</v>
      </c>
      <c r="H82" s="61">
        <v>120000000</v>
      </c>
      <c r="I82" s="82">
        <f t="shared" ref="I82:I87" si="5">H82*(1+$E$137)</f>
        <v>164400000</v>
      </c>
      <c r="J82" s="225">
        <f t="shared" ref="J82:J87" si="6">I82*(1+$F$135)</f>
        <v>169332000</v>
      </c>
    </row>
    <row r="83" spans="3:10" x14ac:dyDescent="0.25">
      <c r="C83" s="214" t="s">
        <v>10</v>
      </c>
      <c r="D83" s="60" t="s">
        <v>174</v>
      </c>
      <c r="E83" s="60" t="s">
        <v>179</v>
      </c>
      <c r="F83" s="196" t="s">
        <v>180</v>
      </c>
      <c r="G83" s="61">
        <v>8100000</v>
      </c>
      <c r="H83" s="61">
        <v>4000000</v>
      </c>
      <c r="I83" s="82">
        <f t="shared" si="5"/>
        <v>5480000</v>
      </c>
      <c r="J83" s="225">
        <f t="shared" si="6"/>
        <v>5644400</v>
      </c>
    </row>
    <row r="84" spans="3:10" x14ac:dyDescent="0.25">
      <c r="C84" s="214" t="s">
        <v>10</v>
      </c>
      <c r="D84" s="60" t="s">
        <v>174</v>
      </c>
      <c r="E84" s="60" t="s">
        <v>183</v>
      </c>
      <c r="F84" s="197" t="s">
        <v>184</v>
      </c>
      <c r="G84" s="61">
        <v>28997605</v>
      </c>
      <c r="H84" s="61">
        <v>23000000</v>
      </c>
      <c r="I84" s="82">
        <f t="shared" si="5"/>
        <v>31510000.000000004</v>
      </c>
      <c r="J84" s="225">
        <f t="shared" si="6"/>
        <v>32455300.000000004</v>
      </c>
    </row>
    <row r="85" spans="3:10" x14ac:dyDescent="0.25">
      <c r="C85" s="214" t="s">
        <v>10</v>
      </c>
      <c r="D85" s="62" t="s">
        <v>185</v>
      </c>
      <c r="E85" s="60" t="s">
        <v>188</v>
      </c>
      <c r="F85" s="196" t="s">
        <v>210</v>
      </c>
      <c r="G85" s="61">
        <v>21250000</v>
      </c>
      <c r="H85" s="61">
        <v>25000000</v>
      </c>
      <c r="I85" s="82">
        <f t="shared" si="5"/>
        <v>34250000</v>
      </c>
      <c r="J85" s="225">
        <f t="shared" si="6"/>
        <v>35277500</v>
      </c>
    </row>
    <row r="86" spans="3:10" x14ac:dyDescent="0.25">
      <c r="C86" s="214" t="s">
        <v>10</v>
      </c>
      <c r="D86" s="62" t="s">
        <v>185</v>
      </c>
      <c r="E86" s="60" t="s">
        <v>186</v>
      </c>
      <c r="F86" s="198" t="s">
        <v>217</v>
      </c>
      <c r="G86" s="61">
        <v>209117850</v>
      </c>
      <c r="H86" s="61">
        <v>200000000</v>
      </c>
      <c r="I86" s="82">
        <f t="shared" si="5"/>
        <v>274000000</v>
      </c>
      <c r="J86" s="225">
        <f t="shared" si="6"/>
        <v>282220000</v>
      </c>
    </row>
    <row r="87" spans="3:10" x14ac:dyDescent="0.25">
      <c r="C87" s="214" t="s">
        <v>10</v>
      </c>
      <c r="D87" s="62" t="s">
        <v>185</v>
      </c>
      <c r="E87" s="60" t="s">
        <v>186</v>
      </c>
      <c r="F87" s="198" t="s">
        <v>218</v>
      </c>
      <c r="G87" s="61"/>
      <c r="H87" s="61">
        <v>10000000</v>
      </c>
      <c r="I87" s="82">
        <f t="shared" si="5"/>
        <v>13700000.000000002</v>
      </c>
      <c r="J87" s="225">
        <f t="shared" si="6"/>
        <v>14111000.000000002</v>
      </c>
    </row>
    <row r="88" spans="3:10" ht="16.7" customHeight="1" x14ac:dyDescent="0.25">
      <c r="C88" s="214" t="s">
        <v>10</v>
      </c>
      <c r="D88" s="63" t="s">
        <v>190</v>
      </c>
      <c r="E88" s="60" t="s">
        <v>191</v>
      </c>
      <c r="F88" s="196" t="s">
        <v>200</v>
      </c>
      <c r="G88" s="61">
        <v>15355857</v>
      </c>
      <c r="H88" s="61">
        <v>20000000</v>
      </c>
      <c r="I88" s="82">
        <f>H88*(1+$E$136)</f>
        <v>33800000</v>
      </c>
      <c r="J88" s="225">
        <f>I88*(1+$F$136)</f>
        <v>56885400</v>
      </c>
    </row>
    <row r="89" spans="3:10" x14ac:dyDescent="0.25">
      <c r="C89" s="214" t="s">
        <v>10</v>
      </c>
      <c r="D89" s="60" t="s">
        <v>193</v>
      </c>
      <c r="E89" s="62" t="s">
        <v>194</v>
      </c>
      <c r="F89" s="198" t="s">
        <v>195</v>
      </c>
      <c r="G89" s="61">
        <v>76810105</v>
      </c>
      <c r="H89" s="61">
        <v>60000000</v>
      </c>
      <c r="I89" s="82">
        <f>H89*(1+$E$137)</f>
        <v>82200000</v>
      </c>
      <c r="J89" s="225">
        <f>I89*(1+$F$135)</f>
        <v>84666000</v>
      </c>
    </row>
    <row r="90" spans="3:10" x14ac:dyDescent="0.25">
      <c r="C90" s="215" t="s">
        <v>10</v>
      </c>
      <c r="D90" s="64" t="s">
        <v>193</v>
      </c>
      <c r="E90" s="64" t="s">
        <v>196</v>
      </c>
      <c r="F90" s="198" t="s">
        <v>197</v>
      </c>
      <c r="G90" s="61"/>
      <c r="H90" s="61">
        <v>80000000</v>
      </c>
      <c r="I90" s="82">
        <f>H90*(1+$E$137)</f>
        <v>109600000.00000001</v>
      </c>
      <c r="J90" s="225">
        <f>I90*(1+$F$135)</f>
        <v>112888000.00000001</v>
      </c>
    </row>
    <row r="91" spans="3:10" x14ac:dyDescent="0.25">
      <c r="C91" s="216" t="s">
        <v>11</v>
      </c>
      <c r="D91" s="83" t="s">
        <v>174</v>
      </c>
      <c r="E91" s="83" t="s">
        <v>177</v>
      </c>
      <c r="F91" s="199" t="s">
        <v>178</v>
      </c>
      <c r="G91" s="84"/>
      <c r="H91" s="84">
        <v>20000000</v>
      </c>
      <c r="I91" s="84">
        <f>H91*(1+$E$136)</f>
        <v>33800000</v>
      </c>
      <c r="J91" s="226">
        <f>I91*(1+$F$136)</f>
        <v>56885400</v>
      </c>
    </row>
    <row r="92" spans="3:10" x14ac:dyDescent="0.25">
      <c r="C92" s="216" t="s">
        <v>11</v>
      </c>
      <c r="D92" s="83" t="s">
        <v>174</v>
      </c>
      <c r="E92" s="83" t="s">
        <v>188</v>
      </c>
      <c r="F92" s="199" t="s">
        <v>219</v>
      </c>
      <c r="G92" s="84">
        <v>63035298</v>
      </c>
      <c r="H92" s="84">
        <v>60000000</v>
      </c>
      <c r="I92" s="84">
        <f>H92*(1+$E$135)</f>
        <v>61800000</v>
      </c>
      <c r="J92" s="226">
        <f>I92*(1+$F$135)</f>
        <v>63654000</v>
      </c>
    </row>
    <row r="93" spans="3:10" x14ac:dyDescent="0.25">
      <c r="C93" s="216" t="s">
        <v>11</v>
      </c>
      <c r="D93" s="83" t="s">
        <v>174</v>
      </c>
      <c r="E93" s="83" t="s">
        <v>179</v>
      </c>
      <c r="F93" s="199" t="s">
        <v>180</v>
      </c>
      <c r="G93" s="84">
        <v>900000</v>
      </c>
      <c r="H93" s="84">
        <v>3000000</v>
      </c>
      <c r="I93" s="84">
        <f>H93*(1+$E$135)</f>
        <v>3090000</v>
      </c>
      <c r="J93" s="226">
        <f>I93*(1+$F$135)</f>
        <v>3182700</v>
      </c>
    </row>
    <row r="94" spans="3:10" x14ac:dyDescent="0.25">
      <c r="C94" s="216" t="s">
        <v>11</v>
      </c>
      <c r="D94" s="83" t="s">
        <v>174</v>
      </c>
      <c r="E94" s="83" t="s">
        <v>181</v>
      </c>
      <c r="F94" s="199" t="s">
        <v>182</v>
      </c>
      <c r="G94" s="84"/>
      <c r="H94" s="84">
        <v>100000000</v>
      </c>
      <c r="I94" s="84">
        <f>H94*(1+$E$135)</f>
        <v>103000000</v>
      </c>
      <c r="J94" s="226">
        <f>I94*(1+$F$135)</f>
        <v>106090000</v>
      </c>
    </row>
    <row r="95" spans="3:10" x14ac:dyDescent="0.25">
      <c r="C95" s="217" t="s">
        <v>11</v>
      </c>
      <c r="D95" s="83" t="s">
        <v>174</v>
      </c>
      <c r="E95" s="83" t="s">
        <v>183</v>
      </c>
      <c r="F95" s="199" t="s">
        <v>220</v>
      </c>
      <c r="G95" s="84">
        <v>6443912</v>
      </c>
      <c r="H95" s="84">
        <v>6500000</v>
      </c>
      <c r="I95" s="84">
        <f>H95*(1+$E$135)</f>
        <v>6695000</v>
      </c>
      <c r="J95" s="226">
        <f>I95*(1+$F$135)</f>
        <v>6895850</v>
      </c>
    </row>
    <row r="96" spans="3:10" x14ac:dyDescent="0.25">
      <c r="C96" s="217" t="s">
        <v>11</v>
      </c>
      <c r="D96" s="202" t="s">
        <v>193</v>
      </c>
      <c r="E96" s="202" t="s">
        <v>196</v>
      </c>
      <c r="F96" s="85" t="s">
        <v>351</v>
      </c>
      <c r="G96" s="203"/>
      <c r="H96" s="203">
        <v>68000000</v>
      </c>
      <c r="I96" s="203">
        <f>H96*(1+$E$135)</f>
        <v>70040000</v>
      </c>
      <c r="J96" s="227">
        <f>I96*(1+$F$135)</f>
        <v>72141200</v>
      </c>
    </row>
    <row r="97" spans="3:10" ht="15.95" customHeight="1" x14ac:dyDescent="0.25">
      <c r="C97" s="216" t="s">
        <v>11</v>
      </c>
      <c r="D97" s="86" t="s">
        <v>190</v>
      </c>
      <c r="E97" s="86" t="s">
        <v>191</v>
      </c>
      <c r="F97" s="199" t="s">
        <v>200</v>
      </c>
      <c r="G97" s="84">
        <v>1517857</v>
      </c>
      <c r="H97" s="84">
        <v>20000000</v>
      </c>
      <c r="I97" s="84">
        <f>H97*(1+$E$136)</f>
        <v>33800000</v>
      </c>
      <c r="J97" s="226">
        <f>I97*(1+$F$136)</f>
        <v>56885400</v>
      </c>
    </row>
    <row r="98" spans="3:10" x14ac:dyDescent="0.25">
      <c r="C98" s="204" t="s">
        <v>148</v>
      </c>
      <c r="D98" s="65" t="s">
        <v>174</v>
      </c>
      <c r="E98" s="65" t="s">
        <v>148</v>
      </c>
      <c r="F98" s="200" t="s">
        <v>221</v>
      </c>
      <c r="G98" s="44">
        <v>20000000</v>
      </c>
      <c r="H98" s="44">
        <v>20000000</v>
      </c>
      <c r="I98" s="44">
        <f>H98*(1+$E$136)</f>
        <v>33800000</v>
      </c>
      <c r="J98" s="218">
        <f>I98*(1+$F$136)</f>
        <v>56885400</v>
      </c>
    </row>
    <row r="99" spans="3:10" x14ac:dyDescent="0.25">
      <c r="C99" s="204" t="s">
        <v>148</v>
      </c>
      <c r="D99" s="65" t="s">
        <v>174</v>
      </c>
      <c r="E99" s="65" t="s">
        <v>148</v>
      </c>
      <c r="F99" s="200" t="s">
        <v>222</v>
      </c>
      <c r="G99" s="44">
        <v>20000000</v>
      </c>
      <c r="H99" s="44">
        <v>20000000</v>
      </c>
      <c r="I99" s="44">
        <f t="shared" ref="I99:I125" si="7">H99*(1+$E$135)</f>
        <v>20600000</v>
      </c>
      <c r="J99" s="218">
        <f t="shared" ref="J99:J116" si="8">I99*(1+$F$135)</f>
        <v>21218000</v>
      </c>
    </row>
    <row r="100" spans="3:10" x14ac:dyDescent="0.25">
      <c r="C100" s="204" t="s">
        <v>148</v>
      </c>
      <c r="D100" s="65" t="s">
        <v>174</v>
      </c>
      <c r="E100" s="65" t="s">
        <v>148</v>
      </c>
      <c r="F100" s="200" t="s">
        <v>223</v>
      </c>
      <c r="G100" s="44">
        <v>15000000</v>
      </c>
      <c r="H100" s="44">
        <v>15000000</v>
      </c>
      <c r="I100" s="44">
        <f t="shared" si="7"/>
        <v>15450000</v>
      </c>
      <c r="J100" s="218">
        <f t="shared" si="8"/>
        <v>15913500</v>
      </c>
    </row>
    <row r="101" spans="3:10" x14ac:dyDescent="0.25">
      <c r="C101" s="204" t="s">
        <v>148</v>
      </c>
      <c r="D101" s="65" t="s">
        <v>174</v>
      </c>
      <c r="E101" s="65" t="s">
        <v>148</v>
      </c>
      <c r="F101" s="200" t="s">
        <v>224</v>
      </c>
      <c r="G101" s="44">
        <v>32219561</v>
      </c>
      <c r="H101" s="44">
        <v>28000000</v>
      </c>
      <c r="I101" s="44">
        <f t="shared" si="7"/>
        <v>28840000</v>
      </c>
      <c r="J101" s="218">
        <f t="shared" si="8"/>
        <v>29705200</v>
      </c>
    </row>
    <row r="102" spans="3:10" x14ac:dyDescent="0.25">
      <c r="C102" s="204" t="s">
        <v>148</v>
      </c>
      <c r="D102" s="65" t="s">
        <v>185</v>
      </c>
      <c r="E102" s="65" t="s">
        <v>148</v>
      </c>
      <c r="F102" s="200" t="s">
        <v>225</v>
      </c>
      <c r="G102" s="44">
        <v>60000000</v>
      </c>
      <c r="H102" s="44">
        <v>60000000</v>
      </c>
      <c r="I102" s="44">
        <f t="shared" si="7"/>
        <v>61800000</v>
      </c>
      <c r="J102" s="218">
        <f t="shared" si="8"/>
        <v>63654000</v>
      </c>
    </row>
    <row r="103" spans="3:10" x14ac:dyDescent="0.25">
      <c r="C103" s="204" t="s">
        <v>148</v>
      </c>
      <c r="D103" s="65" t="s">
        <v>185</v>
      </c>
      <c r="E103" s="65" t="s">
        <v>148</v>
      </c>
      <c r="F103" s="200" t="s">
        <v>226</v>
      </c>
      <c r="G103" s="44">
        <v>57000000</v>
      </c>
      <c r="H103" s="44">
        <v>57000000</v>
      </c>
      <c r="I103" s="44">
        <f t="shared" si="7"/>
        <v>58710000</v>
      </c>
      <c r="J103" s="218">
        <f t="shared" si="8"/>
        <v>60471300</v>
      </c>
    </row>
    <row r="104" spans="3:10" x14ac:dyDescent="0.25">
      <c r="C104" s="204" t="s">
        <v>148</v>
      </c>
      <c r="D104" s="65" t="s">
        <v>185</v>
      </c>
      <c r="E104" s="65" t="s">
        <v>148</v>
      </c>
      <c r="F104" s="200" t="s">
        <v>227</v>
      </c>
      <c r="G104" s="44">
        <v>1000000</v>
      </c>
      <c r="H104" s="44">
        <v>1000000</v>
      </c>
      <c r="I104" s="44">
        <f t="shared" si="7"/>
        <v>1030000</v>
      </c>
      <c r="J104" s="218">
        <f t="shared" si="8"/>
        <v>1060900</v>
      </c>
    </row>
    <row r="105" spans="3:10" x14ac:dyDescent="0.25">
      <c r="C105" s="204" t="s">
        <v>148</v>
      </c>
      <c r="D105" s="65" t="s">
        <v>185</v>
      </c>
      <c r="E105" s="65" t="s">
        <v>148</v>
      </c>
      <c r="F105" s="200" t="s">
        <v>228</v>
      </c>
      <c r="G105" s="44">
        <v>25000000</v>
      </c>
      <c r="H105" s="44">
        <v>25000000</v>
      </c>
      <c r="I105" s="44">
        <f t="shared" si="7"/>
        <v>25750000</v>
      </c>
      <c r="J105" s="218">
        <f t="shared" si="8"/>
        <v>26522500</v>
      </c>
    </row>
    <row r="106" spans="3:10" x14ac:dyDescent="0.25">
      <c r="C106" s="204" t="s">
        <v>148</v>
      </c>
      <c r="D106" s="65" t="s">
        <v>185</v>
      </c>
      <c r="E106" s="65" t="s">
        <v>148</v>
      </c>
      <c r="F106" s="200" t="s">
        <v>229</v>
      </c>
      <c r="G106" s="44">
        <v>50000000</v>
      </c>
      <c r="H106" s="44"/>
      <c r="I106" s="44">
        <f t="shared" si="7"/>
        <v>0</v>
      </c>
      <c r="J106" s="218">
        <f t="shared" si="8"/>
        <v>0</v>
      </c>
    </row>
    <row r="107" spans="3:10" x14ac:dyDescent="0.25">
      <c r="C107" s="204" t="s">
        <v>148</v>
      </c>
      <c r="D107" s="65" t="s">
        <v>185</v>
      </c>
      <c r="E107" s="65" t="s">
        <v>148</v>
      </c>
      <c r="F107" s="200" t="s">
        <v>230</v>
      </c>
      <c r="G107" s="44">
        <v>80000000</v>
      </c>
      <c r="H107" s="44">
        <v>60000000</v>
      </c>
      <c r="I107" s="44">
        <f t="shared" si="7"/>
        <v>61800000</v>
      </c>
      <c r="J107" s="218">
        <f t="shared" si="8"/>
        <v>63654000</v>
      </c>
    </row>
    <row r="108" spans="3:10" x14ac:dyDescent="0.25">
      <c r="C108" s="204" t="s">
        <v>148</v>
      </c>
      <c r="D108" s="65" t="s">
        <v>185</v>
      </c>
      <c r="E108" s="65" t="s">
        <v>148</v>
      </c>
      <c r="F108" s="200" t="s">
        <v>231</v>
      </c>
      <c r="G108" s="44">
        <v>25000000</v>
      </c>
      <c r="H108" s="44"/>
      <c r="I108" s="44">
        <f t="shared" si="7"/>
        <v>0</v>
      </c>
      <c r="J108" s="218">
        <f t="shared" si="8"/>
        <v>0</v>
      </c>
    </row>
    <row r="109" spans="3:10" x14ac:dyDescent="0.25">
      <c r="C109" s="204" t="s">
        <v>148</v>
      </c>
      <c r="D109" s="65" t="s">
        <v>185</v>
      </c>
      <c r="E109" s="65" t="s">
        <v>148</v>
      </c>
      <c r="F109" s="200" t="s">
        <v>232</v>
      </c>
      <c r="G109" s="44">
        <v>4000000</v>
      </c>
      <c r="H109" s="44">
        <v>4000000</v>
      </c>
      <c r="I109" s="44">
        <f t="shared" si="7"/>
        <v>4120000</v>
      </c>
      <c r="J109" s="218">
        <f t="shared" si="8"/>
        <v>4243600</v>
      </c>
    </row>
    <row r="110" spans="3:10" x14ac:dyDescent="0.25">
      <c r="C110" s="204" t="s">
        <v>148</v>
      </c>
      <c r="D110" s="45" t="s">
        <v>233</v>
      </c>
      <c r="E110" s="65" t="s">
        <v>148</v>
      </c>
      <c r="F110" s="200" t="s">
        <v>234</v>
      </c>
      <c r="G110" s="44">
        <v>45862881</v>
      </c>
      <c r="H110" s="44">
        <v>50000000</v>
      </c>
      <c r="I110" s="44">
        <f t="shared" si="7"/>
        <v>51500000</v>
      </c>
      <c r="J110" s="218">
        <f t="shared" si="8"/>
        <v>53045000</v>
      </c>
    </row>
    <row r="111" spans="3:10" x14ac:dyDescent="0.25">
      <c r="C111" s="204" t="s">
        <v>148</v>
      </c>
      <c r="D111" s="45" t="s">
        <v>193</v>
      </c>
      <c r="E111" s="65" t="s">
        <v>148</v>
      </c>
      <c r="F111" s="200" t="s">
        <v>235</v>
      </c>
      <c r="G111" s="44">
        <v>207219561</v>
      </c>
      <c r="H111" s="44">
        <v>210000000</v>
      </c>
      <c r="I111" s="44">
        <f t="shared" si="7"/>
        <v>216300000</v>
      </c>
      <c r="J111" s="218">
        <f t="shared" si="8"/>
        <v>222789000</v>
      </c>
    </row>
    <row r="112" spans="3:10" x14ac:dyDescent="0.25">
      <c r="C112" s="207" t="s">
        <v>149</v>
      </c>
      <c r="D112" s="66" t="s">
        <v>174</v>
      </c>
      <c r="E112" s="66" t="s">
        <v>179</v>
      </c>
      <c r="F112" s="184" t="s">
        <v>236</v>
      </c>
      <c r="G112" s="51"/>
      <c r="H112" s="51">
        <v>20000000</v>
      </c>
      <c r="I112" s="51">
        <f t="shared" si="7"/>
        <v>20600000</v>
      </c>
      <c r="J112" s="220">
        <f t="shared" si="8"/>
        <v>21218000</v>
      </c>
    </row>
    <row r="113" spans="3:11" x14ac:dyDescent="0.25">
      <c r="C113" s="207" t="s">
        <v>149</v>
      </c>
      <c r="D113" s="66" t="s">
        <v>174</v>
      </c>
      <c r="E113" s="66" t="s">
        <v>179</v>
      </c>
      <c r="F113" s="184" t="s">
        <v>237</v>
      </c>
      <c r="G113" s="51"/>
      <c r="H113" s="51">
        <v>10000000</v>
      </c>
      <c r="I113" s="51">
        <f t="shared" si="7"/>
        <v>10300000</v>
      </c>
      <c r="J113" s="220">
        <f t="shared" si="8"/>
        <v>10609000</v>
      </c>
    </row>
    <row r="114" spans="3:11" x14ac:dyDescent="0.25">
      <c r="C114" s="207" t="s">
        <v>149</v>
      </c>
      <c r="D114" s="66" t="s">
        <v>238</v>
      </c>
      <c r="E114" s="66" t="s">
        <v>179</v>
      </c>
      <c r="F114" s="184" t="s">
        <v>239</v>
      </c>
      <c r="G114" s="51"/>
      <c r="H114" s="51">
        <f>+(12000000*17)</f>
        <v>204000000</v>
      </c>
      <c r="I114" s="51">
        <f t="shared" si="7"/>
        <v>210120000</v>
      </c>
      <c r="J114" s="220">
        <f t="shared" si="8"/>
        <v>216423600</v>
      </c>
    </row>
    <row r="115" spans="3:11" x14ac:dyDescent="0.25">
      <c r="C115" s="207" t="s">
        <v>149</v>
      </c>
      <c r="D115" s="66" t="s">
        <v>238</v>
      </c>
      <c r="E115" s="66" t="s">
        <v>181</v>
      </c>
      <c r="F115" s="184" t="s">
        <v>240</v>
      </c>
      <c r="G115" s="51"/>
      <c r="H115" s="51">
        <v>100000000</v>
      </c>
      <c r="I115" s="51">
        <f t="shared" si="7"/>
        <v>103000000</v>
      </c>
      <c r="J115" s="220">
        <f t="shared" si="8"/>
        <v>106090000</v>
      </c>
    </row>
    <row r="116" spans="3:11" x14ac:dyDescent="0.25">
      <c r="C116" s="207" t="s">
        <v>149</v>
      </c>
      <c r="D116" s="66" t="s">
        <v>174</v>
      </c>
      <c r="E116" s="66" t="s">
        <v>181</v>
      </c>
      <c r="F116" s="184" t="s">
        <v>241</v>
      </c>
      <c r="G116" s="51"/>
      <c r="H116" s="51">
        <v>200000000</v>
      </c>
      <c r="I116" s="51">
        <f t="shared" si="7"/>
        <v>206000000</v>
      </c>
      <c r="J116" s="220">
        <f t="shared" si="8"/>
        <v>212180000</v>
      </c>
    </row>
    <row r="117" spans="3:11" x14ac:dyDescent="0.25">
      <c r="C117" s="209" t="s">
        <v>149</v>
      </c>
      <c r="D117" s="58" t="s">
        <v>174</v>
      </c>
      <c r="E117" s="58" t="s">
        <v>150</v>
      </c>
      <c r="F117" s="201" t="s">
        <v>242</v>
      </c>
      <c r="G117" s="55"/>
      <c r="H117" s="55"/>
      <c r="I117" s="55">
        <f t="shared" si="7"/>
        <v>0</v>
      </c>
      <c r="J117" s="221">
        <v>150000000</v>
      </c>
    </row>
    <row r="118" spans="3:11" x14ac:dyDescent="0.25">
      <c r="C118" s="209" t="s">
        <v>149</v>
      </c>
      <c r="D118" s="58" t="s">
        <v>150</v>
      </c>
      <c r="E118" s="58" t="s">
        <v>150</v>
      </c>
      <c r="F118" s="201" t="s">
        <v>243</v>
      </c>
      <c r="G118" s="55"/>
      <c r="H118" s="55">
        <v>157500000</v>
      </c>
      <c r="I118" s="55">
        <f t="shared" si="7"/>
        <v>162225000</v>
      </c>
      <c r="J118" s="221">
        <f t="shared" ref="J118:J125" si="9">I118*(1+$F$135)</f>
        <v>167091750</v>
      </c>
      <c r="K118" t="s">
        <v>244</v>
      </c>
    </row>
    <row r="119" spans="3:11" x14ac:dyDescent="0.25">
      <c r="C119" s="209" t="s">
        <v>149</v>
      </c>
      <c r="D119" s="58" t="s">
        <v>150</v>
      </c>
      <c r="E119" s="58" t="s">
        <v>150</v>
      </c>
      <c r="F119" s="201" t="s">
        <v>245</v>
      </c>
      <c r="G119" s="55"/>
      <c r="H119" s="55">
        <v>100000000</v>
      </c>
      <c r="I119" s="55">
        <f t="shared" si="7"/>
        <v>103000000</v>
      </c>
      <c r="J119" s="221">
        <f t="shared" si="9"/>
        <v>106090000</v>
      </c>
      <c r="K119" t="s">
        <v>246</v>
      </c>
    </row>
    <row r="120" spans="3:11" x14ac:dyDescent="0.25">
      <c r="C120" s="209" t="s">
        <v>149</v>
      </c>
      <c r="D120" s="58" t="s">
        <v>150</v>
      </c>
      <c r="E120" s="58" t="s">
        <v>150</v>
      </c>
      <c r="F120" s="201" t="s">
        <v>247</v>
      </c>
      <c r="G120" s="55"/>
      <c r="H120" s="55">
        <v>900000000</v>
      </c>
      <c r="I120" s="55">
        <f t="shared" si="7"/>
        <v>927000000</v>
      </c>
      <c r="J120" s="221">
        <f t="shared" si="9"/>
        <v>954810000</v>
      </c>
      <c r="K120" t="s">
        <v>248</v>
      </c>
    </row>
    <row r="121" spans="3:11" x14ac:dyDescent="0.25">
      <c r="C121" s="209" t="s">
        <v>149</v>
      </c>
      <c r="D121" s="58" t="s">
        <v>150</v>
      </c>
      <c r="E121" s="58" t="s">
        <v>150</v>
      </c>
      <c r="F121" s="201" t="s">
        <v>249</v>
      </c>
      <c r="G121" s="55"/>
      <c r="H121" s="55">
        <v>20000000</v>
      </c>
      <c r="I121" s="55">
        <f t="shared" si="7"/>
        <v>20600000</v>
      </c>
      <c r="J121" s="221">
        <f t="shared" si="9"/>
        <v>21218000</v>
      </c>
      <c r="K121" t="s">
        <v>250</v>
      </c>
    </row>
    <row r="122" spans="3:11" x14ac:dyDescent="0.25">
      <c r="C122" s="209" t="s">
        <v>149</v>
      </c>
      <c r="D122" s="58" t="s">
        <v>150</v>
      </c>
      <c r="E122" s="58" t="s">
        <v>150</v>
      </c>
      <c r="F122" s="201" t="s">
        <v>251</v>
      </c>
      <c r="G122" s="55"/>
      <c r="H122" s="55">
        <v>114000000</v>
      </c>
      <c r="I122" s="55">
        <f t="shared" si="7"/>
        <v>117420000</v>
      </c>
      <c r="J122" s="221">
        <f t="shared" si="9"/>
        <v>120942600</v>
      </c>
      <c r="K122" t="s">
        <v>252</v>
      </c>
    </row>
    <row r="123" spans="3:11" x14ac:dyDescent="0.25">
      <c r="C123" s="209" t="s">
        <v>149</v>
      </c>
      <c r="D123" s="58" t="s">
        <v>150</v>
      </c>
      <c r="E123" s="58" t="s">
        <v>150</v>
      </c>
      <c r="F123" s="201" t="s">
        <v>253</v>
      </c>
      <c r="G123" s="55"/>
      <c r="H123" s="55">
        <v>100000000</v>
      </c>
      <c r="I123" s="55">
        <f t="shared" si="7"/>
        <v>103000000</v>
      </c>
      <c r="J123" s="221">
        <f t="shared" si="9"/>
        <v>106090000</v>
      </c>
      <c r="K123" t="s">
        <v>254</v>
      </c>
    </row>
    <row r="124" spans="3:11" x14ac:dyDescent="0.25">
      <c r="C124" s="209" t="s">
        <v>149</v>
      </c>
      <c r="D124" s="58" t="s">
        <v>150</v>
      </c>
      <c r="E124" s="58" t="s">
        <v>150</v>
      </c>
      <c r="F124" s="201" t="s">
        <v>255</v>
      </c>
      <c r="G124" s="55"/>
      <c r="H124" s="55">
        <v>20000000</v>
      </c>
      <c r="I124" s="55">
        <f t="shared" si="7"/>
        <v>20600000</v>
      </c>
      <c r="J124" s="221">
        <f t="shared" si="9"/>
        <v>21218000</v>
      </c>
    </row>
    <row r="125" spans="3:11" x14ac:dyDescent="0.25">
      <c r="C125" s="233" t="s">
        <v>149</v>
      </c>
      <c r="D125" s="234" t="s">
        <v>150</v>
      </c>
      <c r="E125" s="234" t="s">
        <v>150</v>
      </c>
      <c r="F125" s="235" t="s">
        <v>256</v>
      </c>
      <c r="G125" s="236"/>
      <c r="H125" s="236">
        <v>10000000</v>
      </c>
      <c r="I125" s="236">
        <f t="shared" si="7"/>
        <v>10300000</v>
      </c>
      <c r="J125" s="237">
        <f t="shared" si="9"/>
        <v>10609000</v>
      </c>
      <c r="K125" t="s">
        <v>257</v>
      </c>
    </row>
    <row r="126" spans="3:11" ht="15.75" thickBot="1" x14ac:dyDescent="0.3"/>
    <row r="127" spans="3:11" x14ac:dyDescent="0.25">
      <c r="G127" s="154" t="s">
        <v>258</v>
      </c>
      <c r="H127" s="155">
        <f>SUM(H6:H117)</f>
        <v>6288500000</v>
      </c>
      <c r="I127" s="155">
        <f>SUM(I6:I117)</f>
        <v>7015970000</v>
      </c>
      <c r="J127" s="156">
        <f>SUM(J6:J117)</f>
        <v>8242441406.5</v>
      </c>
    </row>
    <row r="128" spans="3:11" x14ac:dyDescent="0.25">
      <c r="G128" s="157" t="s">
        <v>259</v>
      </c>
      <c r="H128" s="143">
        <f>SUM(H118:H125)</f>
        <v>1421500000</v>
      </c>
      <c r="I128" s="143">
        <f>SUM(I118:I126)</f>
        <v>1464145000</v>
      </c>
      <c r="J128" s="158">
        <f>SUM(J118:J126)</f>
        <v>1508069350</v>
      </c>
    </row>
    <row r="129" spans="4:14" ht="15.75" thickBot="1" x14ac:dyDescent="0.3">
      <c r="G129" s="159" t="s">
        <v>260</v>
      </c>
      <c r="H129" s="160">
        <f>+H128+H127</f>
        <v>7710000000</v>
      </c>
      <c r="I129" s="160">
        <f>SUM(I127:I128)</f>
        <v>8480115000</v>
      </c>
      <c r="J129" s="161">
        <f>SUM(J127:J128)</f>
        <v>9750510756.5</v>
      </c>
      <c r="M129" s="2"/>
      <c r="N129" s="2"/>
    </row>
    <row r="132" spans="4:14" x14ac:dyDescent="0.25">
      <c r="D132" s="95" t="s">
        <v>273</v>
      </c>
    </row>
    <row r="133" spans="4:14" x14ac:dyDescent="0.25">
      <c r="E133" s="98" t="s">
        <v>267</v>
      </c>
      <c r="F133" s="98" t="s">
        <v>268</v>
      </c>
    </row>
    <row r="134" spans="4:14" x14ac:dyDescent="0.25">
      <c r="D134" s="87" t="s">
        <v>363</v>
      </c>
      <c r="E134" s="96">
        <v>0.1</v>
      </c>
      <c r="F134" s="96">
        <v>0.15</v>
      </c>
    </row>
    <row r="135" spans="4:14" x14ac:dyDescent="0.25">
      <c r="D135" s="5" t="s">
        <v>274</v>
      </c>
      <c r="E135" s="96">
        <v>0.03</v>
      </c>
      <c r="F135" s="96">
        <v>0.03</v>
      </c>
    </row>
    <row r="136" spans="4:14" x14ac:dyDescent="0.25">
      <c r="D136" s="5" t="s">
        <v>276</v>
      </c>
      <c r="E136" s="97">
        <v>0.69</v>
      </c>
      <c r="F136" s="97">
        <v>0.68300000000000005</v>
      </c>
    </row>
    <row r="137" spans="4:14" x14ac:dyDescent="0.25">
      <c r="D137" s="5" t="s">
        <v>275</v>
      </c>
      <c r="E137" s="97">
        <v>0.37</v>
      </c>
      <c r="F137" s="97">
        <v>0.29409999999999997</v>
      </c>
    </row>
    <row r="138" spans="4:14" x14ac:dyDescent="0.25">
      <c r="E138" s="69" t="s">
        <v>262</v>
      </c>
      <c r="F138" s="70" t="s">
        <v>263</v>
      </c>
    </row>
    <row r="141" spans="4:14" x14ac:dyDescent="0.25">
      <c r="D141" s="94" t="s">
        <v>270</v>
      </c>
      <c r="E141" s="88" t="s">
        <v>267</v>
      </c>
      <c r="F141" s="88" t="s">
        <v>268</v>
      </c>
    </row>
    <row r="142" spans="4:14" x14ac:dyDescent="0.25">
      <c r="D142" s="46" t="s">
        <v>266</v>
      </c>
      <c r="E142" s="89">
        <f>E134</f>
        <v>0.1</v>
      </c>
      <c r="F142" s="89">
        <f>F134</f>
        <v>0.15</v>
      </c>
    </row>
    <row r="143" spans="4:14" x14ac:dyDescent="0.25">
      <c r="D143" s="90" t="s">
        <v>271</v>
      </c>
      <c r="E143" s="91">
        <f>H129*(1+E142)</f>
        <v>8481000000.000001</v>
      </c>
      <c r="F143" s="91">
        <f>I129*(1+F142)</f>
        <v>9752132250</v>
      </c>
    </row>
    <row r="144" spans="4:14" x14ac:dyDescent="0.25">
      <c r="D144" s="92" t="s">
        <v>272</v>
      </c>
      <c r="E144" s="91">
        <f>E143-I129</f>
        <v>885000.00000095367</v>
      </c>
      <c r="F144" s="91">
        <f>F143-J129</f>
        <v>1621493.5</v>
      </c>
    </row>
    <row r="145" spans="4:6" x14ac:dyDescent="0.25">
      <c r="D145" s="93" t="s">
        <v>269</v>
      </c>
      <c r="E145" s="89">
        <f>E144/I129</f>
        <v>1.0436179226354286E-4</v>
      </c>
      <c r="F145" s="89">
        <f>F144/J129</f>
        <v>1.6629831405693912E-4</v>
      </c>
    </row>
  </sheetData>
  <pageMargins left="0.7" right="0.7" top="0.75" bottom="0.75" header="0.3" footer="0.3"/>
  <pageSetup paperSize="9" orientation="portrait" r:id="rId1"/>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CEC61-AE4D-4146-AEFA-865298741033}">
  <sheetPr>
    <tabColor theme="9" tint="0.79998168889431442"/>
  </sheetPr>
  <dimension ref="B2:O35"/>
  <sheetViews>
    <sheetView showGridLines="0" workbookViewId="0"/>
  </sheetViews>
  <sheetFormatPr baseColWidth="10" defaultRowHeight="15" x14ac:dyDescent="0.25"/>
  <cols>
    <col min="1" max="1" width="2.28515625" customWidth="1"/>
    <col min="2" max="2" width="3" customWidth="1"/>
    <col min="3" max="3" width="17.5703125" bestFit="1" customWidth="1"/>
    <col min="4" max="7" width="13" bestFit="1" customWidth="1"/>
    <col min="8" max="8" width="5" customWidth="1"/>
    <col min="9" max="9" width="17.28515625" bestFit="1" customWidth="1"/>
    <col min="10" max="12" width="8.85546875" customWidth="1"/>
    <col min="13" max="13" width="5.42578125" customWidth="1"/>
    <col min="14" max="15" width="11.140625" bestFit="1" customWidth="1"/>
    <col min="16" max="17" width="8" bestFit="1" customWidth="1"/>
    <col min="18" max="53" width="9" bestFit="1" customWidth="1"/>
    <col min="54" max="67" width="10" bestFit="1" customWidth="1"/>
    <col min="68" max="68" width="11" bestFit="1" customWidth="1"/>
    <col min="69" max="69" width="12.5703125" bestFit="1" customWidth="1"/>
  </cols>
  <sheetData>
    <row r="2" spans="2:7" x14ac:dyDescent="0.25">
      <c r="B2" t="s">
        <v>298</v>
      </c>
    </row>
    <row r="3" spans="2:7" ht="9" customHeight="1" x14ac:dyDescent="0.25"/>
    <row r="4" spans="2:7" ht="18.75" x14ac:dyDescent="0.3">
      <c r="B4" s="14" t="s">
        <v>282</v>
      </c>
    </row>
    <row r="5" spans="2:7" ht="6.75" customHeight="1" x14ac:dyDescent="0.25"/>
    <row r="6" spans="2:7" x14ac:dyDescent="0.25">
      <c r="C6" s="99" t="s">
        <v>145</v>
      </c>
      <c r="D6" s="99" t="s">
        <v>277</v>
      </c>
      <c r="E6" t="s">
        <v>278</v>
      </c>
      <c r="F6" t="s">
        <v>279</v>
      </c>
      <c r="G6" t="s">
        <v>280</v>
      </c>
    </row>
    <row r="7" spans="2:7" x14ac:dyDescent="0.25">
      <c r="C7" s="67" t="s">
        <v>10</v>
      </c>
      <c r="D7" s="40">
        <v>512651730</v>
      </c>
      <c r="E7" s="40">
        <v>597000000</v>
      </c>
      <c r="F7" s="40">
        <v>829815000</v>
      </c>
      <c r="G7" s="40">
        <v>913516112.5</v>
      </c>
    </row>
    <row r="8" spans="2:7" x14ac:dyDescent="0.25">
      <c r="C8" s="67" t="s">
        <v>170</v>
      </c>
      <c r="D8" s="40">
        <v>337658653</v>
      </c>
      <c r="E8" s="40">
        <v>341000000</v>
      </c>
      <c r="F8" s="40">
        <v>359270000</v>
      </c>
      <c r="G8" s="40">
        <v>386176030</v>
      </c>
    </row>
    <row r="9" spans="2:7" x14ac:dyDescent="0.25">
      <c r="C9" s="67" t="s">
        <v>11</v>
      </c>
      <c r="D9" s="40">
        <v>71897067</v>
      </c>
      <c r="E9" s="40">
        <v>277500000</v>
      </c>
      <c r="F9" s="40">
        <v>312225000</v>
      </c>
      <c r="G9" s="40">
        <v>365734550</v>
      </c>
    </row>
    <row r="10" spans="2:7" x14ac:dyDescent="0.25">
      <c r="C10" s="67" t="s">
        <v>4</v>
      </c>
      <c r="D10" s="40">
        <v>1002153707</v>
      </c>
      <c r="E10" s="40">
        <v>1041000000</v>
      </c>
      <c r="F10" s="40">
        <v>1133745000</v>
      </c>
      <c r="G10" s="40">
        <v>1259733717.5</v>
      </c>
    </row>
    <row r="11" spans="2:7" x14ac:dyDescent="0.25">
      <c r="C11" s="67" t="s">
        <v>12</v>
      </c>
      <c r="D11" s="40">
        <v>183458653</v>
      </c>
      <c r="E11" s="40">
        <v>169000000</v>
      </c>
      <c r="F11" s="40">
        <v>192220000</v>
      </c>
      <c r="G11" s="40">
        <v>225964575</v>
      </c>
    </row>
    <row r="12" spans="2:7" x14ac:dyDescent="0.25">
      <c r="C12" s="67" t="s">
        <v>101</v>
      </c>
      <c r="D12" s="40">
        <v>1001251926</v>
      </c>
      <c r="E12" s="40">
        <v>1141000000</v>
      </c>
      <c r="F12" s="40">
        <v>1249480000</v>
      </c>
      <c r="G12" s="40">
        <v>1617427471</v>
      </c>
    </row>
    <row r="13" spans="2:7" x14ac:dyDescent="0.25">
      <c r="C13" s="67" t="s">
        <v>7</v>
      </c>
      <c r="D13" s="40">
        <v>540264530</v>
      </c>
      <c r="E13" s="40">
        <v>625000000</v>
      </c>
      <c r="F13" s="40">
        <v>686530000</v>
      </c>
      <c r="G13" s="40">
        <v>773055010</v>
      </c>
    </row>
    <row r="14" spans="2:7" x14ac:dyDescent="0.25">
      <c r="C14" s="67" t="s">
        <v>9</v>
      </c>
      <c r="D14" s="40">
        <v>288876056</v>
      </c>
      <c r="E14" s="40">
        <v>456000000</v>
      </c>
      <c r="F14" s="40">
        <v>507105000</v>
      </c>
      <c r="G14" s="40">
        <v>665723965.5</v>
      </c>
    </row>
    <row r="15" spans="2:7" x14ac:dyDescent="0.25">
      <c r="C15" s="67" t="s">
        <v>148</v>
      </c>
      <c r="D15" s="40">
        <v>642302003</v>
      </c>
      <c r="E15" s="40">
        <v>550000000</v>
      </c>
      <c r="F15" s="40">
        <v>579700000</v>
      </c>
      <c r="G15" s="40">
        <v>619162400</v>
      </c>
    </row>
    <row r="16" spans="2:7" x14ac:dyDescent="0.25">
      <c r="C16" s="67" t="s">
        <v>149</v>
      </c>
      <c r="D16" s="40"/>
      <c r="E16" s="40">
        <v>1955500000</v>
      </c>
      <c r="F16" s="40">
        <v>2014165000</v>
      </c>
      <c r="G16" s="40">
        <v>2224589950</v>
      </c>
    </row>
    <row r="17" spans="2:15" x14ac:dyDescent="0.25">
      <c r="C17" s="67" t="s">
        <v>8</v>
      </c>
      <c r="D17" s="40">
        <v>475965712</v>
      </c>
      <c r="E17" s="40">
        <v>557000000</v>
      </c>
      <c r="F17" s="40">
        <v>615860000</v>
      </c>
      <c r="G17" s="40">
        <v>699426975</v>
      </c>
    </row>
    <row r="18" spans="2:15" x14ac:dyDescent="0.25">
      <c r="C18" s="67" t="s">
        <v>146</v>
      </c>
      <c r="D18" s="40">
        <v>5056480037</v>
      </c>
      <c r="E18" s="40">
        <v>7710000000</v>
      </c>
      <c r="F18" s="40">
        <v>8480115000</v>
      </c>
      <c r="G18" s="40">
        <v>9750510756.5</v>
      </c>
    </row>
    <row r="20" spans="2:15" ht="18.75" x14ac:dyDescent="0.3">
      <c r="B20" s="14" t="s">
        <v>283</v>
      </c>
    </row>
    <row r="21" spans="2:15" x14ac:dyDescent="0.25">
      <c r="C21" t="s">
        <v>281</v>
      </c>
      <c r="D21" s="37">
        <v>850</v>
      </c>
    </row>
    <row r="22" spans="2:15" ht="6.75" customHeight="1" thickBot="1" x14ac:dyDescent="0.3"/>
    <row r="23" spans="2:15" x14ac:dyDescent="0.25">
      <c r="C23" s="100" t="s">
        <v>261</v>
      </c>
      <c r="D23" s="100" t="s">
        <v>277</v>
      </c>
      <c r="E23" s="100" t="s">
        <v>278</v>
      </c>
      <c r="F23" s="100" t="s">
        <v>279</v>
      </c>
      <c r="G23" s="100" t="s">
        <v>280</v>
      </c>
      <c r="I23" s="100" t="s">
        <v>261</v>
      </c>
      <c r="J23" s="110">
        <v>2024</v>
      </c>
      <c r="K23" s="110">
        <v>2025</v>
      </c>
      <c r="L23" s="110">
        <v>2026</v>
      </c>
      <c r="N23" s="101" t="s">
        <v>284</v>
      </c>
      <c r="O23" s="101" t="s">
        <v>285</v>
      </c>
    </row>
    <row r="24" spans="2:15" x14ac:dyDescent="0.25">
      <c r="C24" s="104" t="str">
        <f>C7</f>
        <v>ALEMANIA</v>
      </c>
      <c r="D24" s="105">
        <f t="shared" ref="D24:D34" si="0">VLOOKUP($C24,$C$6:$G$18,2,FALSE)/$D$21</f>
        <v>603119.68235294113</v>
      </c>
      <c r="E24" s="105">
        <f t="shared" ref="E24:E34" si="1">VLOOKUP($C24,$C$6:$G$18,3,FALSE)/$D$21</f>
        <v>702352.9411764706</v>
      </c>
      <c r="F24" s="105">
        <f t="shared" ref="F24:F34" si="2">VLOOKUP($C24,$C$6:$G$18,4,FALSE)/$D$21</f>
        <v>976252.9411764706</v>
      </c>
      <c r="G24" s="105">
        <f t="shared" ref="G24:G34" si="3">VLOOKUP($C24,$C$6:$G$18,5,FALSE)/$D$21</f>
        <v>1074724.8382352942</v>
      </c>
      <c r="I24" t="str">
        <f>C24</f>
        <v>ALEMANIA</v>
      </c>
      <c r="J24" s="68">
        <f>E24/E$35</f>
        <v>7.7431906614785981E-2</v>
      </c>
      <c r="K24" s="68">
        <f>F24/F$35</f>
        <v>9.7854215420427659E-2</v>
      </c>
      <c r="L24" s="68">
        <f>G24/G$35</f>
        <v>9.3689052328978881E-2</v>
      </c>
      <c r="N24" s="109">
        <f>(G24/E24)^(1/2)-1</f>
        <v>0.2370035338999934</v>
      </c>
      <c r="O24" s="106">
        <f t="shared" ref="O24:O31" si="4">(G24/D24)^(1/3)-1</f>
        <v>0.21235905775346153</v>
      </c>
    </row>
    <row r="25" spans="2:15" x14ac:dyDescent="0.25">
      <c r="C25" s="104" t="str">
        <f t="shared" ref="C25:C34" si="5">C8</f>
        <v>ARGENTINA/CABA</v>
      </c>
      <c r="D25" s="105">
        <f t="shared" si="0"/>
        <v>397245.47411764704</v>
      </c>
      <c r="E25" s="105">
        <f t="shared" si="1"/>
        <v>401176.4705882353</v>
      </c>
      <c r="F25" s="105">
        <f t="shared" si="2"/>
        <v>422670.5882352941</v>
      </c>
      <c r="G25" s="105">
        <f t="shared" si="3"/>
        <v>454324.74117647059</v>
      </c>
      <c r="I25" t="str">
        <f t="shared" ref="I25:I34" si="6">C25</f>
        <v>ARGENTINA/CABA</v>
      </c>
      <c r="J25" s="68">
        <f t="shared" ref="J25:L34" si="7">E25/E$35</f>
        <v>4.4228274967574574E-2</v>
      </c>
      <c r="K25" s="68">
        <f t="shared" si="7"/>
        <v>4.2366170741788278E-2</v>
      </c>
      <c r="L25" s="68">
        <f t="shared" si="7"/>
        <v>3.9605723191737698E-2</v>
      </c>
      <c r="N25" s="111">
        <f t="shared" ref="N24:N35" si="8">(G25/E25)^(1/2)-1</f>
        <v>6.4180918074066007E-2</v>
      </c>
      <c r="O25" s="109">
        <f t="shared" si="4"/>
        <v>4.5769111234840176E-2</v>
      </c>
    </row>
    <row r="26" spans="2:15" x14ac:dyDescent="0.25">
      <c r="C26" s="104" t="str">
        <f t="shared" si="5"/>
        <v>AUSTRALIA</v>
      </c>
      <c r="D26" s="105">
        <f t="shared" si="0"/>
        <v>84584.784705882354</v>
      </c>
      <c r="E26" s="105">
        <f t="shared" si="1"/>
        <v>326470.5882352941</v>
      </c>
      <c r="F26" s="105">
        <f t="shared" si="2"/>
        <v>367323.5294117647</v>
      </c>
      <c r="G26" s="105">
        <f t="shared" si="3"/>
        <v>430275.9411764706</v>
      </c>
      <c r="I26" t="str">
        <f t="shared" si="6"/>
        <v>AUSTRALIA</v>
      </c>
      <c r="J26" s="68">
        <f t="shared" si="7"/>
        <v>3.5992217898832682E-2</v>
      </c>
      <c r="K26" s="68">
        <f t="shared" si="7"/>
        <v>3.6818486541750899E-2</v>
      </c>
      <c r="L26" s="68">
        <f t="shared" si="7"/>
        <v>3.7509270963696925E-2</v>
      </c>
      <c r="N26" s="109">
        <f t="shared" si="8"/>
        <v>0.14802541014663206</v>
      </c>
      <c r="O26" s="106">
        <f t="shared" si="4"/>
        <v>0.71982769526780443</v>
      </c>
    </row>
    <row r="27" spans="2:15" x14ac:dyDescent="0.25">
      <c r="C27" s="104" t="str">
        <f t="shared" si="5"/>
        <v>BRASIL</v>
      </c>
      <c r="D27" s="105">
        <f t="shared" si="0"/>
        <v>1179004.3611764705</v>
      </c>
      <c r="E27" s="105">
        <f t="shared" si="1"/>
        <v>1224705.8823529412</v>
      </c>
      <c r="F27" s="105">
        <f t="shared" si="2"/>
        <v>1333817.6470588236</v>
      </c>
      <c r="G27" s="105">
        <f t="shared" si="3"/>
        <v>1482039.6676470588</v>
      </c>
      <c r="I27" t="str">
        <f t="shared" si="6"/>
        <v>BRASIL</v>
      </c>
      <c r="J27" s="68">
        <f t="shared" si="7"/>
        <v>0.13501945525291828</v>
      </c>
      <c r="K27" s="68">
        <f t="shared" si="7"/>
        <v>0.13369453126520101</v>
      </c>
      <c r="L27" s="68">
        <f t="shared" si="7"/>
        <v>0.12919669020007196</v>
      </c>
      <c r="N27" s="109">
        <f t="shared" si="8"/>
        <v>0.10005401906484157</v>
      </c>
      <c r="O27" s="106">
        <f t="shared" si="4"/>
        <v>7.9231978781240553E-2</v>
      </c>
    </row>
    <row r="28" spans="2:15" x14ac:dyDescent="0.25">
      <c r="C28" s="104" t="str">
        <f t="shared" si="5"/>
        <v>COLOMBIA</v>
      </c>
      <c r="D28" s="105">
        <f t="shared" si="0"/>
        <v>215833.70941176469</v>
      </c>
      <c r="E28" s="105">
        <f t="shared" si="1"/>
        <v>198823.5294117647</v>
      </c>
      <c r="F28" s="105">
        <f t="shared" si="2"/>
        <v>226141.17647058822</v>
      </c>
      <c r="G28" s="105">
        <f t="shared" si="3"/>
        <v>265840.67647058825</v>
      </c>
      <c r="I28" t="str">
        <f t="shared" si="6"/>
        <v>COLOMBIA</v>
      </c>
      <c r="J28" s="68">
        <f t="shared" si="7"/>
        <v>2.1919584954604408E-2</v>
      </c>
      <c r="K28" s="68">
        <f t="shared" si="7"/>
        <v>2.2667145433758855E-2</v>
      </c>
      <c r="L28" s="68">
        <f t="shared" si="7"/>
        <v>2.3174639836109592E-2</v>
      </c>
      <c r="N28" s="109">
        <f t="shared" si="8"/>
        <v>0.15631677801727872</v>
      </c>
      <c r="O28" s="106">
        <f t="shared" si="4"/>
        <v>7.1932370867565654E-2</v>
      </c>
    </row>
    <row r="29" spans="2:15" x14ac:dyDescent="0.25">
      <c r="C29" s="104" t="str">
        <f t="shared" si="5"/>
        <v>EEUU</v>
      </c>
      <c r="D29" s="105">
        <f t="shared" si="0"/>
        <v>1177943.4423529413</v>
      </c>
      <c r="E29" s="105">
        <f t="shared" si="1"/>
        <v>1342352.9411764706</v>
      </c>
      <c r="F29" s="105">
        <f t="shared" si="2"/>
        <v>1469976.4705882352</v>
      </c>
      <c r="G29" s="105">
        <f t="shared" si="3"/>
        <v>1902855.8482352942</v>
      </c>
      <c r="I29" t="str">
        <f t="shared" si="6"/>
        <v>EEUU</v>
      </c>
      <c r="J29" s="68">
        <f t="shared" si="7"/>
        <v>0.14798962386511022</v>
      </c>
      <c r="K29" s="68">
        <f t="shared" si="7"/>
        <v>0.14734234146588809</v>
      </c>
      <c r="L29" s="68">
        <f t="shared" si="7"/>
        <v>0.16588130728657177</v>
      </c>
      <c r="N29" s="109">
        <f t="shared" si="8"/>
        <v>0.19061016291440125</v>
      </c>
      <c r="O29" s="106">
        <f t="shared" si="4"/>
        <v>0.17334884505206305</v>
      </c>
    </row>
    <row r="30" spans="2:15" x14ac:dyDescent="0.25">
      <c r="C30" s="104" t="str">
        <f t="shared" si="5"/>
        <v>ESPAÑA</v>
      </c>
      <c r="D30" s="105">
        <f t="shared" si="0"/>
        <v>635605.32941176475</v>
      </c>
      <c r="E30" s="105">
        <f t="shared" si="1"/>
        <v>735294.1176470588</v>
      </c>
      <c r="F30" s="105">
        <f t="shared" si="2"/>
        <v>807682.3529411765</v>
      </c>
      <c r="G30" s="105">
        <f t="shared" si="3"/>
        <v>909476.48235294118</v>
      </c>
      <c r="I30" t="str">
        <f t="shared" si="6"/>
        <v>ESPAÑA</v>
      </c>
      <c r="J30" s="68">
        <f t="shared" si="7"/>
        <v>8.106355382619973E-2</v>
      </c>
      <c r="K30" s="68">
        <f t="shared" si="7"/>
        <v>8.0957628522726394E-2</v>
      </c>
      <c r="L30" s="68">
        <f t="shared" si="7"/>
        <v>7.9283540042726156E-2</v>
      </c>
      <c r="N30" s="106">
        <f t="shared" si="8"/>
        <v>0.11215467269620372</v>
      </c>
      <c r="O30" s="109">
        <f t="shared" si="4"/>
        <v>0.1268548574556545</v>
      </c>
    </row>
    <row r="31" spans="2:15" x14ac:dyDescent="0.25">
      <c r="C31" s="104" t="str">
        <f t="shared" si="5"/>
        <v>FRANCIA</v>
      </c>
      <c r="D31" s="105">
        <f t="shared" si="0"/>
        <v>339854.18352941179</v>
      </c>
      <c r="E31" s="105">
        <f t="shared" si="1"/>
        <v>536470.5882352941</v>
      </c>
      <c r="F31" s="105">
        <f t="shared" si="2"/>
        <v>596594.1176470588</v>
      </c>
      <c r="G31" s="105">
        <f t="shared" si="3"/>
        <v>783204.66529411764</v>
      </c>
      <c r="I31" t="str">
        <f t="shared" si="6"/>
        <v>FRANCIA</v>
      </c>
      <c r="J31" s="68">
        <f t="shared" si="7"/>
        <v>5.9143968871595322E-2</v>
      </c>
      <c r="K31" s="68">
        <f t="shared" si="7"/>
        <v>5.9799306966945603E-2</v>
      </c>
      <c r="L31" s="68">
        <f t="shared" si="7"/>
        <v>6.8275804429650741E-2</v>
      </c>
      <c r="N31" s="106">
        <f t="shared" si="8"/>
        <v>0.208271896956014</v>
      </c>
      <c r="O31" s="109">
        <f t="shared" si="4"/>
        <v>0.32087244935933601</v>
      </c>
    </row>
    <row r="32" spans="2:15" x14ac:dyDescent="0.25">
      <c r="C32" s="104" t="str">
        <f t="shared" si="5"/>
        <v>MICE</v>
      </c>
      <c r="D32" s="105">
        <f t="shared" si="0"/>
        <v>755649.41529411764</v>
      </c>
      <c r="E32" s="105">
        <f t="shared" si="1"/>
        <v>647058.82352941181</v>
      </c>
      <c r="F32" s="105">
        <f t="shared" si="2"/>
        <v>682000</v>
      </c>
      <c r="G32" s="105">
        <f t="shared" si="3"/>
        <v>728426.3529411765</v>
      </c>
      <c r="I32" t="str">
        <f t="shared" si="6"/>
        <v>MICE</v>
      </c>
      <c r="J32" s="68">
        <f t="shared" si="7"/>
        <v>7.1335927367055768E-2</v>
      </c>
      <c r="K32" s="68">
        <f t="shared" si="7"/>
        <v>6.8359922005774676E-2</v>
      </c>
      <c r="L32" s="68">
        <f t="shared" si="7"/>
        <v>6.35005094053403E-2</v>
      </c>
      <c r="N32" s="109">
        <f t="shared" si="8"/>
        <v>6.1013580583122451E-2</v>
      </c>
      <c r="O32" s="106">
        <f>(G32/D32)^(1/3)-1</f>
        <v>-1.215584869797981E-2</v>
      </c>
    </row>
    <row r="33" spans="3:15" x14ac:dyDescent="0.25">
      <c r="C33" s="104" t="str">
        <f t="shared" si="5"/>
        <v>MULTIMERCADO</v>
      </c>
      <c r="D33" s="105">
        <f t="shared" si="0"/>
        <v>0</v>
      </c>
      <c r="E33" s="105">
        <f t="shared" si="1"/>
        <v>2300588.2352941176</v>
      </c>
      <c r="F33" s="105">
        <f t="shared" si="2"/>
        <v>2369605.8823529412</v>
      </c>
      <c r="G33" s="105">
        <f t="shared" si="3"/>
        <v>2617164.6470588236</v>
      </c>
      <c r="I33" t="str">
        <f t="shared" si="6"/>
        <v>MULTIMERCADO</v>
      </c>
      <c r="J33" s="68">
        <f t="shared" si="7"/>
        <v>0.25363164721141374</v>
      </c>
      <c r="K33" s="68">
        <f t="shared" si="7"/>
        <v>0.23751623651330198</v>
      </c>
      <c r="L33" s="68">
        <f t="shared" si="7"/>
        <v>0.22815112003409846</v>
      </c>
      <c r="N33" s="109">
        <f t="shared" si="8"/>
        <v>6.6586482486469034E-2</v>
      </c>
      <c r="O33" s="106"/>
    </row>
    <row r="34" spans="3:15" x14ac:dyDescent="0.25">
      <c r="C34" s="104" t="str">
        <f t="shared" si="5"/>
        <v>REINO UNIDO</v>
      </c>
      <c r="D34" s="105">
        <f t="shared" si="0"/>
        <v>559959.66117647057</v>
      </c>
      <c r="E34" s="105">
        <f t="shared" si="1"/>
        <v>655294.1176470588</v>
      </c>
      <c r="F34" s="105">
        <f t="shared" si="2"/>
        <v>724541.17647058819</v>
      </c>
      <c r="G34" s="105">
        <f t="shared" si="3"/>
        <v>822855.26470588241</v>
      </c>
      <c r="I34" t="str">
        <f t="shared" si="6"/>
        <v>REINO UNIDO</v>
      </c>
      <c r="J34" s="68">
        <f t="shared" si="7"/>
        <v>7.2243839169909202E-2</v>
      </c>
      <c r="K34" s="68">
        <f t="shared" si="7"/>
        <v>7.2624015122436408E-2</v>
      </c>
      <c r="L34" s="68">
        <f t="shared" si="7"/>
        <v>7.1732342281017408E-2</v>
      </c>
      <c r="N34" s="106">
        <f t="shared" si="8"/>
        <v>0.12058186908149793</v>
      </c>
      <c r="O34" s="109">
        <f>(G34/D34)^(1/3)-1</f>
        <v>0.13689992199977707</v>
      </c>
    </row>
    <row r="35" spans="3:15" ht="15.75" thickBot="1" x14ac:dyDescent="0.3">
      <c r="C35" s="102" t="s">
        <v>146</v>
      </c>
      <c r="D35" s="103">
        <f>SUM(D24:D34)</f>
        <v>5948800.0435294118</v>
      </c>
      <c r="E35" s="103">
        <f t="shared" ref="E35:G35" si="9">SUM(E24:E34)</f>
        <v>9070588.2352941185</v>
      </c>
      <c r="F35" s="103">
        <f t="shared" si="9"/>
        <v>9976605.8823529426</v>
      </c>
      <c r="G35" s="103">
        <f t="shared" si="9"/>
        <v>11471189.125294119</v>
      </c>
      <c r="I35" s="102" t="s">
        <v>146</v>
      </c>
      <c r="J35" s="107">
        <f>SUM(J24:J34)</f>
        <v>0.99999999999999978</v>
      </c>
      <c r="K35" s="107">
        <f t="shared" ref="K35:L35" si="10">SUM(K24:K34)</f>
        <v>0.99999999999999989</v>
      </c>
      <c r="L35" s="107">
        <f t="shared" si="10"/>
        <v>1</v>
      </c>
      <c r="N35" s="108">
        <f t="shared" si="8"/>
        <v>0.12457000034144761</v>
      </c>
      <c r="O35" s="108">
        <f>(G35/D35)^(1/3)-1</f>
        <v>0.24468567005087549</v>
      </c>
    </row>
  </sheetData>
  <phoneticPr fontId="20" type="noConversion"/>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Metodología</vt:lpstr>
      <vt:lpstr>Informe de efectividad </vt:lpstr>
      <vt:lpstr>Anexo KPIs recomendados</vt:lpstr>
      <vt:lpstr>Proyecciones</vt:lpstr>
      <vt:lpstr>Inputs &amp; assumptions</vt:lpstr>
      <vt:lpstr>Proyección presup. desglosado</vt:lpstr>
      <vt:lpstr>Tabla dinámica presupuestos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Clara Robert</cp:lastModifiedBy>
  <cp:revision/>
  <dcterms:created xsi:type="dcterms:W3CDTF">2023-05-04T13:13:12Z</dcterms:created>
  <dcterms:modified xsi:type="dcterms:W3CDTF">2023-07-06T08:33:58Z</dcterms:modified>
  <cp:category/>
  <cp:contentStatus/>
</cp:coreProperties>
</file>